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OL\СГ\Отчет перед собственниками\"/>
    </mc:Choice>
  </mc:AlternateContent>
  <bookViews>
    <workbookView xWindow="360" yWindow="135" windowWidth="19155" windowHeight="6975"/>
  </bookViews>
  <sheets>
    <sheet name="Лист2" sheetId="2" r:id="rId1"/>
    <sheet name="Лист3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I75" i="2" l="1"/>
  <c r="H71" i="2"/>
  <c r="J71" i="2" s="1"/>
  <c r="K71" i="2" s="1"/>
  <c r="G71" i="2"/>
  <c r="H70" i="2"/>
  <c r="J70" i="2" s="1"/>
  <c r="K70" i="2" s="1"/>
  <c r="G70" i="2"/>
  <c r="J69" i="2"/>
  <c r="K69" i="2" s="1"/>
  <c r="H69" i="2"/>
  <c r="H68" i="2"/>
  <c r="I68" i="2" s="1"/>
  <c r="J68" i="2" s="1"/>
  <c r="K68" i="2" s="1"/>
  <c r="I63" i="2"/>
  <c r="H63" i="2"/>
  <c r="K62" i="2"/>
  <c r="L62" i="2" s="1"/>
  <c r="M62" i="2" s="1"/>
  <c r="J56" i="2"/>
  <c r="I56" i="2"/>
  <c r="G56" i="2"/>
  <c r="F56" i="2"/>
  <c r="H55" i="2"/>
  <c r="K55" i="2" s="1"/>
  <c r="L55" i="2" s="1"/>
  <c r="H54" i="2"/>
  <c r="B53" i="2"/>
  <c r="D53" i="2" s="1"/>
  <c r="E53" i="2" s="1"/>
  <c r="F53" i="2" s="1"/>
  <c r="G53" i="2" s="1"/>
  <c r="H53" i="2" s="1"/>
  <c r="I53" i="2" s="1"/>
  <c r="J53" i="2" s="1"/>
  <c r="K53" i="2" s="1"/>
  <c r="L53" i="2" s="1"/>
  <c r="A45" i="2"/>
  <c r="E43" i="2"/>
  <c r="E41" i="2"/>
  <c r="E40" i="2"/>
  <c r="E38" i="2"/>
  <c r="A38" i="2"/>
  <c r="A39" i="2" s="1"/>
  <c r="E37" i="2"/>
  <c r="E36" i="2"/>
  <c r="F36" i="2" s="1"/>
  <c r="A36" i="2"/>
  <c r="E35" i="2"/>
  <c r="F35" i="2" s="1"/>
  <c r="E32" i="2"/>
  <c r="E28" i="2"/>
  <c r="E26" i="2"/>
  <c r="E25" i="2"/>
  <c r="A25" i="2"/>
  <c r="A26" i="2" s="1"/>
  <c r="E21" i="2"/>
  <c r="E22" i="2" s="1"/>
  <c r="E20" i="2"/>
  <c r="I17" i="2"/>
  <c r="G17" i="2"/>
  <c r="B15" i="2"/>
  <c r="D15" i="2" s="1"/>
  <c r="E15" i="2" s="1"/>
  <c r="F15" i="2" s="1"/>
  <c r="G15" i="2" s="1"/>
  <c r="H15" i="2" s="1"/>
  <c r="I15" i="2" s="1"/>
  <c r="J15" i="2" s="1"/>
  <c r="K15" i="2" s="1"/>
  <c r="L15" i="2" s="1"/>
  <c r="M15" i="2" s="1"/>
  <c r="D8" i="2"/>
  <c r="H45" i="2" s="1"/>
  <c r="E44" i="2" l="1"/>
  <c r="F20" i="2"/>
  <c r="E33" i="2"/>
  <c r="H56" i="2"/>
  <c r="L63" i="2"/>
  <c r="M63" i="2" s="1"/>
  <c r="E24" i="2"/>
  <c r="H25" i="2"/>
  <c r="F26" i="2"/>
  <c r="H37" i="2"/>
  <c r="H38" i="2"/>
  <c r="F39" i="2"/>
  <c r="H40" i="2"/>
  <c r="F41" i="2"/>
  <c r="K54" i="2"/>
  <c r="D17" i="2"/>
  <c r="F25" i="2"/>
  <c r="H26" i="2"/>
  <c r="H35" i="2"/>
  <c r="H36" i="2"/>
  <c r="F37" i="2"/>
  <c r="F38" i="2"/>
  <c r="H39" i="2"/>
  <c r="F40" i="2"/>
  <c r="H41" i="2"/>
  <c r="E45" i="2"/>
  <c r="F45" i="2" l="1"/>
  <c r="E17" i="2"/>
  <c r="L54" i="2"/>
  <c r="L56" i="2" s="1"/>
  <c r="K56" i="2"/>
  <c r="E18" i="2" l="1"/>
  <c r="F17" i="2"/>
  <c r="K17" i="2"/>
  <c r="L17" i="2" s="1"/>
  <c r="E46" i="2"/>
</calcChain>
</file>

<file path=xl/comments1.xml><?xml version="1.0" encoding="utf-8"?>
<comments xmlns="http://schemas.openxmlformats.org/spreadsheetml/2006/main">
  <authors>
    <author>Лукашенкова</author>
  </authors>
  <commentList>
    <comment ref="I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субсидии и льготы
 из бюджета за 8 мес. 2011
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  <charset val="204"/>
          </rPr>
          <t>Субсидия города за 2011 по нераспр. Пл-ди 2333,1 кв м</t>
        </r>
        <r>
          <rPr>
            <sz val="9"/>
            <color indexed="81"/>
            <rFont val="Tahoma"/>
            <family val="2"/>
            <charset val="204"/>
          </rPr>
          <t xml:space="preserve">
от 30.12.11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Автомаш за нежилое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<sst xmlns="http://schemas.openxmlformats.org/spreadsheetml/2006/main" count="121" uniqueCount="110">
  <si>
    <t xml:space="preserve">ГОДОВОЙ ОТЧЕТ УПРАВЛЯЮЩЕЙ ОРГАНИЗАЦИИ О  ВЫПОЛНЕННЫХ РАБОТАХ  И ОКАЗАННЫХ УСЛУГАХ ПО ДОГОВОРУ УПРАВЛЕНИЯ   МНОГОКВАРТИРНЫМ ДОМОМ                                   </t>
  </si>
  <si>
    <t>Управляющая организация  ООО "Мультисистема сервис"</t>
  </si>
  <si>
    <t>адрес многоквартирного дома:  ул. Дубнинская д.40А, кор.1,2,3,4</t>
  </si>
  <si>
    <t>Общая площадь жилых помещений, кв м</t>
  </si>
  <si>
    <t>Общая площадь нежилых помещений, кв м</t>
  </si>
  <si>
    <t>Общая площадь жилых и нежилых помещений, кв м</t>
  </si>
  <si>
    <t>(по техпаспорту)</t>
  </si>
  <si>
    <t xml:space="preserve">I. РАБОТЫ И УСЛУГИ ПО СОДЕРЖАНИЮ И РЕМОНТУ ОБЩЕГО ИМУЩЕСТВА В МНОГОКВАРТИРНОМ ДОМЕ (МКД)                                                                                 </t>
  </si>
  <si>
    <t>Номер по порядку</t>
  </si>
  <si>
    <t>Наименование работ и услуг</t>
  </si>
  <si>
    <t xml:space="preserve">Стоимость работ по договору управления </t>
  </si>
  <si>
    <t xml:space="preserve">Фактически выполнено работ и услуг </t>
  </si>
  <si>
    <t>Удельный расход на 1 кв м общ.пл-ди в расчете на месяц</t>
  </si>
  <si>
    <t xml:space="preserve">Оплачено собственниками  помещений </t>
  </si>
  <si>
    <t>Возмещение из бюджета субсидий и льгот, предоставленных жителям, руб.</t>
  </si>
  <si>
    <t>Превышение фактически выполненных  работ и услуг над оплаченными (задолженность (-))</t>
  </si>
  <si>
    <t>Примечание</t>
  </si>
  <si>
    <t>стоимость,</t>
  </si>
  <si>
    <t>жилых</t>
  </si>
  <si>
    <t>нежилых</t>
  </si>
  <si>
    <t xml:space="preserve"> на начало периода</t>
  </si>
  <si>
    <t>Итоговая переплата на конец года</t>
  </si>
  <si>
    <t>Ставка 22,92 утверждена общим собранием собственников (Приложение №2 к Договору управления) и соответствует утвержденной Правительством Москвы на 2011</t>
  </si>
  <si>
    <t>А. Содержание и ремонт общего имущества</t>
  </si>
  <si>
    <t>Планово-расчетная ставка, руб/кв м /мес</t>
  </si>
  <si>
    <t xml:space="preserve"> Санитарное обслуживание помещений</t>
  </si>
  <si>
    <t>Уборка мест общего пользования и внутреннего двора (17576 кв м ), содержание контейнерной пл-ки</t>
  </si>
  <si>
    <t>Зарплата рабочих компл. уборки (6 чел.)</t>
  </si>
  <si>
    <t xml:space="preserve">Отчисления в ПФ,ФСС </t>
  </si>
  <si>
    <t>Спецодежда</t>
  </si>
  <si>
    <t>Инвентарь, моющие ср-ва</t>
  </si>
  <si>
    <t xml:space="preserve"> Сбор и вывоз  мусора</t>
  </si>
  <si>
    <t xml:space="preserve"> Сбор, вывоз и захоронение бытовых отходов и крупногабаритного мусора .  Вывезено 1621 куб м ТБО и 1188 куб м КГМ</t>
  </si>
  <si>
    <t>Содержание  и ремонт общедомового имущества</t>
  </si>
  <si>
    <t>Эксплуатационные расходы по зданию и коммуникациям согласно регламенту. Текущий ремонт фасадов, кровли, внутридомового инж.оборудования. Подготовка к отопительному сезону..</t>
  </si>
  <si>
    <t>Зарплата рабочих (5 чел.)</t>
  </si>
  <si>
    <t>Ремонт электрооборудования ВРУ</t>
  </si>
  <si>
    <t>ТО металл.дверей, дверных доводчиков (180 шт.), укомплектование пожарных шкафов (88 шт.)</t>
  </si>
  <si>
    <t>Ремстройматериалы и оборудование</t>
  </si>
  <si>
    <t>Сантехматериалы, электролампы, стройматериалы, инструменты и оборудование</t>
  </si>
  <si>
    <t xml:space="preserve"> Тех.обслуживание  лифтов, 12 ед.</t>
  </si>
  <si>
    <t xml:space="preserve">ТО лифтов и содержание дежурной службы электромехаников </t>
  </si>
  <si>
    <t xml:space="preserve"> Содержание  и ремонт система дымоудаления и противопожарной автоматики</t>
  </si>
  <si>
    <t>Техобслуживание и ремонт системы дымоудаления и противопожарной автоматики</t>
  </si>
  <si>
    <t>Техобслуживание вентиляционной системы</t>
  </si>
  <si>
    <t>Прочистка вентканалов и коробов</t>
  </si>
  <si>
    <t xml:space="preserve"> Расходы на электроэнергию в местах общего пользованияя (силовую и световую)</t>
  </si>
  <si>
    <t xml:space="preserve">  Расходы на воду на общедомовые нужды (5% от общего потребления)</t>
  </si>
  <si>
    <t xml:space="preserve">   Дезинсекция, дератизация</t>
  </si>
  <si>
    <t>Расходы на управление</t>
  </si>
  <si>
    <t>Содержание инженерного персонала экспл.уч-ка и АУП, расходы по претензионной работе, связи, оформ-ю договоров, содержание инф.систем, юридические, канц. и проч. расходы</t>
  </si>
  <si>
    <t>Зарплата инж. и упр.персонала (5 чел.)</t>
  </si>
  <si>
    <t>Др. расходы</t>
  </si>
  <si>
    <t xml:space="preserve">Рентабельность организации </t>
  </si>
  <si>
    <t>II. ПРЕДОСТАВЛЕНИЕ  УСЛУГ ОТОПЛЕНИЯ И ПОДОГРЕВА ВОДЫ ПО ДОГОВОРУ УПРАВЛЕНИЯ МНОГОКВАРТИРНЫМ ДОМОМ</t>
  </si>
  <si>
    <r>
      <t xml:space="preserve">За отчетный период экономия теплоносителя составила </t>
    </r>
    <r>
      <rPr>
        <b/>
        <i/>
        <sz val="12"/>
        <color theme="4" tint="-0.249977111117893"/>
        <rFont val="Arial"/>
        <family val="2"/>
        <charset val="204"/>
      </rPr>
      <t>1 872 062 руб.</t>
    </r>
    <r>
      <rPr>
        <b/>
        <i/>
        <sz val="12"/>
        <color rgb="FFFF0000"/>
        <rFont val="Arial"/>
        <family val="2"/>
        <charset val="204"/>
      </rPr>
      <t xml:space="preserve"> </t>
    </r>
    <r>
      <rPr>
        <b/>
        <i/>
        <sz val="12"/>
        <rFont val="Arial"/>
        <family val="2"/>
        <charset val="204"/>
      </rPr>
      <t xml:space="preserve">Данная сумма  возвращена жителям в счетах за январь 2012г. пропорционально  общей площади квартир. </t>
    </r>
  </si>
  <si>
    <t>№</t>
  </si>
  <si>
    <t>Наименование коммунальной услуги</t>
  </si>
  <si>
    <t>Един. измер.</t>
  </si>
  <si>
    <t>Тариф на  2011  руб.</t>
  </si>
  <si>
    <t xml:space="preserve">Объем потребленного собственниками ресурса  </t>
  </si>
  <si>
    <t>Стоимость комм. услуг, оплаченных поставщику ресурсов, руб.</t>
  </si>
  <si>
    <t>Оплачено собственниками и другими потребителями, руб.</t>
  </si>
  <si>
    <t>Возмещение из бюджета льгот, предоставленных жителям, руб.</t>
  </si>
  <si>
    <t>Превышение фактических платежей жителей над предоставленными услугами (задолженность (-))</t>
  </si>
  <si>
    <t>п/п</t>
  </si>
  <si>
    <t xml:space="preserve">Отопление </t>
  </si>
  <si>
    <t>Гкал</t>
  </si>
  <si>
    <t>Подогрев воды</t>
  </si>
  <si>
    <t>Гкал / куб м</t>
  </si>
  <si>
    <t>989,53 / 73,73</t>
  </si>
  <si>
    <t>2145,3 / 34623</t>
  </si>
  <si>
    <t>Итого</t>
  </si>
  <si>
    <t>III. ПРЕДОСТАВЛЕНИЕ  УСЛУГ ВОДОСНАБЖЕНИЯ И ВОДООТВЕДЕНИЯ ПО ДОГОВОРУ УПРАВЛЕНИЯ МНОГОКВАРТИРНЫМ ДОМОМ</t>
  </si>
  <si>
    <t>Тариф  2011 ,   руб.</t>
  </si>
  <si>
    <t>Показания общедомового прибора учета</t>
  </si>
  <si>
    <t>Объем потребленных собственниками ресурсов (за искл.5% общедомового расхода)</t>
  </si>
  <si>
    <t>Стоимость потребленных ресурсов, руб.</t>
  </si>
  <si>
    <t>Оплачено собственниками за потребление в отчетном периоде</t>
  </si>
  <si>
    <t>Возмещение из бюджета льгот , предоставленных жителям, руб.</t>
  </si>
  <si>
    <t>Превышение  предоставленными услуг над фактическими платежами жителей (задолженность (-))</t>
  </si>
  <si>
    <t>Наименование  услуг</t>
  </si>
  <si>
    <t>на начало и конец отчетного периода</t>
  </si>
  <si>
    <t xml:space="preserve"> задолженность на начало периода</t>
  </si>
  <si>
    <t>переплата за отчетный период</t>
  </si>
  <si>
    <t>задолженность на конец года</t>
  </si>
  <si>
    <t>Водоснабжение и водоотведение</t>
  </si>
  <si>
    <t>куб.м</t>
  </si>
  <si>
    <t>476950         568064</t>
  </si>
  <si>
    <t>IV. ПРЕДОСТАВЛЕНИЕ ДРУГИХ УСЛУГ ПО ДОГОВОРУ УПРАВЛЕНИЯ МНОГОКВАРТИРНЫМ ДОМОМ</t>
  </si>
  <si>
    <t>№№ п/п</t>
  </si>
  <si>
    <t xml:space="preserve">Наименование услуг                                                                                      </t>
  </si>
  <si>
    <t>Единица измер.</t>
  </si>
  <si>
    <t>Цена на 2011 год, руб.</t>
  </si>
  <si>
    <t>Стоимость услуг , руб.</t>
  </si>
  <si>
    <t>Оплачено собственниками, руб.</t>
  </si>
  <si>
    <t>задолженность  на начало периода</t>
  </si>
  <si>
    <t>Услуги  телевизионной сети</t>
  </si>
  <si>
    <t>руб. /на кв-ру</t>
  </si>
  <si>
    <t>Эксплуатация ИТП</t>
  </si>
  <si>
    <t xml:space="preserve">руб. / кв м </t>
  </si>
  <si>
    <t xml:space="preserve"> </t>
  </si>
  <si>
    <t>Ремонт  участков стилобата  и решеток водоотведения кровли</t>
  </si>
  <si>
    <t>Задолженность на конец года</t>
  </si>
  <si>
    <t>Задолженность на начало периода</t>
  </si>
  <si>
    <t>Задолженность за отчетный период</t>
  </si>
  <si>
    <t xml:space="preserve"> задолженность на конец года</t>
  </si>
  <si>
    <t>(не функционировали в 2011)</t>
  </si>
  <si>
    <t>Период предыдущего отчета  01 мая 2011 г. - 30 апреля 2011 г.,  период настоящего отчета  01 мая 2011 г. - 31 декабря 2011 г.</t>
  </si>
  <si>
    <t>Служба консьержей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</si>
</sst>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_ ;[Red]\-#,##0\ "/>
    <numFmt numFmtId="167" formatCode="_-* #,##0.0_р_._-;\-* #,##0.0_р_._-;_-* &quot;-&quot;??_р_._-;_-@_-"/>
    <numFmt numFmtId="168" formatCode="_-* #,##0.0_р_._-;\-* #,##0.0_р_._-;_-* &quot;-&quot;?_р_.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color theme="4" tint="-0.249977111117893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sz val="10"/>
      <color theme="4" tint="-0.249977111117893"/>
      <name val="Arial"/>
      <family val="2"/>
      <charset val="204"/>
    </font>
    <font>
      <b/>
      <u val="singleAccounting"/>
      <sz val="12"/>
      <color theme="1"/>
      <name val="Arial"/>
      <family val="2"/>
      <charset val="204"/>
    </font>
    <font>
      <sz val="12"/>
      <color theme="4" tint="-0.249977111117893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9" tint="-0.49998474074526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color theme="4" tint="-0.249977111117893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u/>
      <sz val="11"/>
      <color theme="1"/>
      <name val="Arial"/>
      <family val="2"/>
      <charset val="204"/>
    </font>
    <font>
      <sz val="11"/>
      <color theme="2" tint="-0.499984740745262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4" tint="-0.24997711111789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/>
    <xf numFmtId="165" fontId="2" fillId="0" borderId="0" xfId="0" applyNumberFormat="1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5" fontId="5" fillId="0" borderId="0" xfId="1" applyNumberFormat="1" applyFont="1" applyBorder="1"/>
    <xf numFmtId="165" fontId="6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/>
    <xf numFmtId="0" fontId="12" fillId="0" borderId="13" xfId="0" applyFont="1" applyBorder="1" applyAlignment="1">
      <alignment horizontal="center" wrapText="1"/>
    </xf>
    <xf numFmtId="0" fontId="2" fillId="0" borderId="13" xfId="0" applyFont="1" applyBorder="1"/>
    <xf numFmtId="0" fontId="2" fillId="0" borderId="7" xfId="0" applyFont="1" applyBorder="1"/>
    <xf numFmtId="0" fontId="2" fillId="0" borderId="15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16" xfId="0" applyFont="1" applyBorder="1"/>
    <xf numFmtId="0" fontId="9" fillId="0" borderId="19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3" xfId="0" applyFont="1" applyBorder="1"/>
    <xf numFmtId="165" fontId="2" fillId="0" borderId="1" xfId="1" applyNumberFormat="1" applyFont="1" applyBorder="1"/>
    <xf numFmtId="165" fontId="2" fillId="0" borderId="23" xfId="1" applyNumberFormat="1" applyFont="1" applyBorder="1"/>
    <xf numFmtId="165" fontId="13" fillId="0" borderId="3" xfId="1" applyNumberFormat="1" applyFont="1" applyBorder="1"/>
    <xf numFmtId="165" fontId="2" fillId="0" borderId="2" xfId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2" borderId="7" xfId="0" applyFont="1" applyFill="1" applyBorder="1" applyAlignment="1">
      <alignment horizontal="center"/>
    </xf>
    <xf numFmtId="165" fontId="5" fillId="2" borderId="7" xfId="1" applyNumberFormat="1" applyFont="1" applyFill="1" applyBorder="1"/>
    <xf numFmtId="165" fontId="5" fillId="2" borderId="0" xfId="1" applyNumberFormat="1" applyFont="1" applyFill="1" applyBorder="1"/>
    <xf numFmtId="0" fontId="6" fillId="2" borderId="7" xfId="0" applyFont="1" applyFill="1" applyBorder="1" applyAlignment="1">
      <alignment horizontal="center"/>
    </xf>
    <xf numFmtId="164" fontId="14" fillId="2" borderId="9" xfId="1" applyNumberFormat="1" applyFont="1" applyFill="1" applyBorder="1"/>
    <xf numFmtId="166" fontId="5" fillId="2" borderId="8" xfId="1" applyNumberFormat="1" applyFont="1" applyFill="1" applyBorder="1"/>
    <xf numFmtId="166" fontId="5" fillId="2" borderId="0" xfId="1" applyNumberFormat="1" applyFont="1" applyFill="1" applyBorder="1"/>
    <xf numFmtId="166" fontId="5" fillId="2" borderId="9" xfId="1" applyNumberFormat="1" applyFont="1" applyFill="1" applyBorder="1"/>
    <xf numFmtId="0" fontId="2" fillId="2" borderId="0" xfId="0" applyFont="1" applyFill="1" applyBorder="1"/>
    <xf numFmtId="164" fontId="14" fillId="2" borderId="7" xfId="1" applyNumberFormat="1" applyFont="1" applyFill="1" applyBorder="1"/>
    <xf numFmtId="2" fontId="13" fillId="2" borderId="0" xfId="0" applyNumberFormat="1" applyFont="1" applyFill="1" applyBorder="1"/>
    <xf numFmtId="0" fontId="2" fillId="2" borderId="7" xfId="0" applyFont="1" applyFill="1" applyBorder="1"/>
    <xf numFmtId="165" fontId="15" fillId="2" borderId="9" xfId="1" applyNumberFormat="1" applyFont="1" applyFill="1" applyBorder="1"/>
    <xf numFmtId="164" fontId="14" fillId="2" borderId="8" xfId="1" applyNumberFormat="1" applyFont="1" applyFill="1" applyBorder="1"/>
    <xf numFmtId="165" fontId="5" fillId="2" borderId="8" xfId="1" applyNumberFormat="1" applyFont="1" applyFill="1" applyBorder="1"/>
    <xf numFmtId="0" fontId="2" fillId="2" borderId="9" xfId="0" applyFont="1" applyFill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/>
    <xf numFmtId="165" fontId="2" fillId="0" borderId="24" xfId="1" applyNumberFormat="1" applyFont="1" applyBorder="1"/>
    <xf numFmtId="165" fontId="2" fillId="0" borderId="25" xfId="1" applyNumberFormat="1" applyFont="1" applyBorder="1"/>
    <xf numFmtId="0" fontId="2" fillId="0" borderId="24" xfId="0" applyFont="1" applyBorder="1"/>
    <xf numFmtId="165" fontId="13" fillId="0" borderId="26" xfId="1" applyNumberFormat="1" applyFont="1" applyBorder="1"/>
    <xf numFmtId="165" fontId="2" fillId="0" borderId="27" xfId="1" applyNumberFormat="1" applyFont="1" applyBorder="1"/>
    <xf numFmtId="0" fontId="2" fillId="0" borderId="27" xfId="0" applyFont="1" applyBorder="1"/>
    <xf numFmtId="0" fontId="2" fillId="0" borderId="26" xfId="0" applyFont="1" applyBorder="1"/>
    <xf numFmtId="0" fontId="3" fillId="0" borderId="7" xfId="0" applyFont="1" applyBorder="1" applyAlignment="1">
      <alignment horizontal="center"/>
    </xf>
    <xf numFmtId="165" fontId="3" fillId="0" borderId="7" xfId="1" applyNumberFormat="1" applyFont="1" applyBorder="1"/>
    <xf numFmtId="165" fontId="16" fillId="0" borderId="0" xfId="1" applyNumberFormat="1" applyFont="1" applyBorder="1"/>
    <xf numFmtId="164" fontId="3" fillId="0" borderId="7" xfId="1" applyFont="1" applyBorder="1" applyAlignment="1">
      <alignment horizontal="center"/>
    </xf>
    <xf numFmtId="164" fontId="14" fillId="0" borderId="9" xfId="1" applyNumberFormat="1" applyFont="1" applyFill="1" applyBorder="1"/>
    <xf numFmtId="165" fontId="2" fillId="0" borderId="8" xfId="1" applyNumberFormat="1" applyFont="1" applyBorder="1"/>
    <xf numFmtId="0" fontId="2" fillId="0" borderId="8" xfId="0" applyFont="1" applyBorder="1"/>
    <xf numFmtId="0" fontId="2" fillId="0" borderId="9" xfId="0" applyFont="1" applyBorder="1"/>
    <xf numFmtId="165" fontId="3" fillId="0" borderId="0" xfId="1" applyNumberFormat="1" applyFont="1" applyBorder="1"/>
    <xf numFmtId="164" fontId="3" fillId="0" borderId="7" xfId="1" applyFont="1" applyBorder="1"/>
    <xf numFmtId="165" fontId="2" fillId="0" borderId="0" xfId="1" applyNumberFormat="1" applyFont="1" applyBorder="1"/>
    <xf numFmtId="164" fontId="14" fillId="0" borderId="9" xfId="1" applyNumberFormat="1" applyFont="1" applyBorder="1"/>
    <xf numFmtId="0" fontId="3" fillId="0" borderId="0" xfId="0" applyFont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/>
    <xf numFmtId="165" fontId="3" fillId="0" borderId="24" xfId="1" applyNumberFormat="1" applyFont="1" applyBorder="1"/>
    <xf numFmtId="165" fontId="3" fillId="0" borderId="25" xfId="1" applyNumberFormat="1" applyFont="1" applyBorder="1"/>
    <xf numFmtId="164" fontId="3" fillId="0" borderId="24" xfId="1" applyFont="1" applyBorder="1"/>
    <xf numFmtId="164" fontId="14" fillId="0" borderId="26" xfId="1" applyNumberFormat="1" applyFont="1" applyBorder="1"/>
    <xf numFmtId="0" fontId="3" fillId="0" borderId="26" xfId="0" applyFont="1" applyBorder="1" applyAlignment="1">
      <alignment horizontal="left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/>
    <xf numFmtId="165" fontId="3" fillId="0" borderId="29" xfId="1" applyNumberFormat="1" applyFont="1" applyBorder="1"/>
    <xf numFmtId="165" fontId="16" fillId="0" borderId="30" xfId="1" applyNumberFormat="1" applyFont="1" applyBorder="1"/>
    <xf numFmtId="164" fontId="3" fillId="0" borderId="29" xfId="1" applyFont="1" applyBorder="1" applyAlignment="1">
      <alignment horizontal="center"/>
    </xf>
    <xf numFmtId="164" fontId="14" fillId="0" borderId="31" xfId="1" applyNumberFormat="1" applyFont="1" applyFill="1" applyBorder="1"/>
    <xf numFmtId="165" fontId="2" fillId="0" borderId="32" xfId="1" applyNumberFormat="1" applyFont="1" applyBorder="1"/>
    <xf numFmtId="0" fontId="2" fillId="0" borderId="32" xfId="0" applyFont="1" applyBorder="1"/>
    <xf numFmtId="0" fontId="2" fillId="0" borderId="31" xfId="0" applyFont="1" applyBorder="1"/>
    <xf numFmtId="0" fontId="3" fillId="0" borderId="31" xfId="0" applyFont="1" applyBorder="1" applyAlignment="1">
      <alignment horizontal="left" wrapText="1"/>
    </xf>
    <xf numFmtId="0" fontId="3" fillId="0" borderId="33" xfId="0" applyFont="1" applyBorder="1" applyAlignment="1">
      <alignment horizontal="center"/>
    </xf>
    <xf numFmtId="165" fontId="3" fillId="0" borderId="33" xfId="1" applyNumberFormat="1" applyFont="1" applyBorder="1"/>
    <xf numFmtId="165" fontId="16" fillId="0" borderId="34" xfId="1" applyNumberFormat="1" applyFont="1" applyBorder="1"/>
    <xf numFmtId="165" fontId="2" fillId="0" borderId="35" xfId="1" applyNumberFormat="1" applyFont="1" applyBorder="1"/>
    <xf numFmtId="0" fontId="3" fillId="0" borderId="0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5" xfId="0" applyFont="1" applyBorder="1" applyAlignment="1">
      <alignment wrapText="1"/>
    </xf>
    <xf numFmtId="0" fontId="3" fillId="0" borderId="24" xfId="0" applyFont="1" applyBorder="1"/>
    <xf numFmtId="0" fontId="3" fillId="0" borderId="26" xfId="0" applyFont="1" applyBorder="1" applyAlignment="1">
      <alignment wrapText="1"/>
    </xf>
    <xf numFmtId="165" fontId="5" fillId="0" borderId="30" xfId="1" applyNumberFormat="1" applyFont="1" applyBorder="1"/>
    <xf numFmtId="165" fontId="5" fillId="0" borderId="25" xfId="1" applyNumberFormat="1" applyFont="1" applyBorder="1"/>
    <xf numFmtId="0" fontId="3" fillId="0" borderId="31" xfId="0" applyFont="1" applyBorder="1" applyAlignment="1">
      <alignment wrapText="1"/>
    </xf>
    <xf numFmtId="0" fontId="3" fillId="0" borderId="31" xfId="0" applyFont="1" applyBorder="1" applyAlignment="1">
      <alignment vertical="center" wrapText="1"/>
    </xf>
    <xf numFmtId="0" fontId="3" fillId="0" borderId="34" xfId="0" applyFont="1" applyBorder="1"/>
    <xf numFmtId="165" fontId="16" fillId="0" borderId="9" xfId="1" applyNumberFormat="1" applyFont="1" applyBorder="1"/>
    <xf numFmtId="0" fontId="3" fillId="0" borderId="16" xfId="0" applyFont="1" applyBorder="1" applyAlignment="1">
      <alignment horizontal="center"/>
    </xf>
    <xf numFmtId="0" fontId="3" fillId="0" borderId="36" xfId="0" applyFont="1" applyBorder="1"/>
    <xf numFmtId="165" fontId="3" fillId="0" borderId="16" xfId="1" applyNumberFormat="1" applyFont="1" applyBorder="1"/>
    <xf numFmtId="9" fontId="3" fillId="0" borderId="36" xfId="2" applyFont="1" applyBorder="1" applyAlignment="1">
      <alignment horizontal="center"/>
    </xf>
    <xf numFmtId="9" fontId="3" fillId="0" borderId="36" xfId="2" applyFont="1" applyBorder="1"/>
    <xf numFmtId="165" fontId="17" fillId="0" borderId="14" xfId="1" applyNumberFormat="1" applyFont="1" applyBorder="1"/>
    <xf numFmtId="165" fontId="2" fillId="0" borderId="13" xfId="1" applyNumberFormat="1" applyFont="1" applyBorder="1"/>
    <xf numFmtId="165" fontId="2" fillId="0" borderId="36" xfId="1" applyNumberFormat="1" applyFont="1" applyBorder="1"/>
    <xf numFmtId="165" fontId="2" fillId="0" borderId="14" xfId="1" applyNumberFormat="1" applyFont="1" applyBorder="1"/>
    <xf numFmtId="165" fontId="3" fillId="0" borderId="14" xfId="1" applyNumberFormat="1" applyFont="1" applyBorder="1"/>
    <xf numFmtId="165" fontId="2" fillId="0" borderId="0" xfId="1" applyNumberFormat="1" applyFont="1"/>
    <xf numFmtId="0" fontId="2" fillId="0" borderId="0" xfId="0" applyFont="1" applyAlignment="1">
      <alignment wrapText="1"/>
    </xf>
    <xf numFmtId="0" fontId="18" fillId="0" borderId="0" xfId="0" applyFont="1" applyBorder="1"/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5" fontId="21" fillId="0" borderId="0" xfId="1" applyNumberFormat="1" applyFont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165" fontId="20" fillId="0" borderId="0" xfId="1" applyNumberFormat="1" applyFont="1" applyBorder="1"/>
    <xf numFmtId="165" fontId="20" fillId="0" borderId="0" xfId="0" applyNumberFormat="1" applyFont="1" applyBorder="1"/>
    <xf numFmtId="166" fontId="2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5" fillId="0" borderId="2" xfId="0" applyNumberFormat="1" applyFont="1" applyBorder="1"/>
    <xf numFmtId="0" fontId="5" fillId="0" borderId="7" xfId="0" applyNumberFormat="1" applyFont="1" applyBorder="1"/>
    <xf numFmtId="0" fontId="5" fillId="0" borderId="8" xfId="0" applyNumberFormat="1" applyFont="1" applyBorder="1"/>
    <xf numFmtId="0" fontId="5" fillId="0" borderId="16" xfId="0" applyNumberFormat="1" applyFont="1" applyBorder="1"/>
    <xf numFmtId="0" fontId="5" fillId="0" borderId="13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3" fillId="0" borderId="7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167" fontId="5" fillId="0" borderId="16" xfId="1" applyNumberFormat="1" applyFont="1" applyBorder="1" applyAlignment="1">
      <alignment horizontal="center"/>
    </xf>
    <xf numFmtId="165" fontId="5" fillId="0" borderId="16" xfId="1" applyNumberFormat="1" applyFont="1" applyBorder="1" applyAlignment="1">
      <alignment horizontal="center"/>
    </xf>
    <xf numFmtId="165" fontId="5" fillId="0" borderId="13" xfId="1" applyNumberFormat="1" applyFont="1" applyBorder="1" applyAlignment="1">
      <alignment horizontal="center"/>
    </xf>
    <xf numFmtId="165" fontId="5" fillId="0" borderId="17" xfId="1" applyNumberFormat="1" applyFont="1" applyBorder="1" applyAlignment="1">
      <alignment horizontal="center"/>
    </xf>
    <xf numFmtId="165" fontId="5" fillId="0" borderId="18" xfId="1" applyNumberFormat="1" applyFont="1" applyBorder="1" applyAlignment="1">
      <alignment horizontal="center"/>
    </xf>
    <xf numFmtId="165" fontId="3" fillId="0" borderId="0" xfId="0" applyNumberFormat="1" applyFont="1"/>
    <xf numFmtId="168" fontId="2" fillId="0" borderId="0" xfId="0" applyNumberFormat="1" applyFont="1"/>
    <xf numFmtId="0" fontId="2" fillId="0" borderId="0" xfId="0" applyFont="1" applyBorder="1"/>
    <xf numFmtId="0" fontId="5" fillId="0" borderId="23" xfId="0" applyNumberFormat="1" applyFont="1" applyBorder="1"/>
    <xf numFmtId="0" fontId="5" fillId="0" borderId="0" xfId="0" applyNumberFormat="1" applyFont="1" applyBorder="1"/>
    <xf numFmtId="0" fontId="5" fillId="0" borderId="36" xfId="0" applyNumberFormat="1" applyFont="1" applyBorder="1"/>
    <xf numFmtId="0" fontId="3" fillId="0" borderId="3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9" xfId="0" applyNumberFormat="1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65" fontId="3" fillId="0" borderId="42" xfId="1" applyNumberFormat="1" applyFont="1" applyFill="1" applyBorder="1" applyAlignment="1">
      <alignment horizontal="center" wrapText="1"/>
    </xf>
    <xf numFmtId="165" fontId="5" fillId="0" borderId="39" xfId="0" applyNumberFormat="1" applyFont="1" applyFill="1" applyBorder="1" applyAlignment="1">
      <alignment horizontal="center"/>
    </xf>
    <xf numFmtId="166" fontId="10" fillId="0" borderId="41" xfId="0" applyNumberFormat="1" applyFont="1" applyFill="1" applyBorder="1" applyAlignment="1">
      <alignment horizontal="right"/>
    </xf>
    <xf numFmtId="166" fontId="10" fillId="0" borderId="22" xfId="0" applyNumberFormat="1" applyFont="1" applyFill="1" applyBorder="1" applyAlignment="1">
      <alignment horizontal="right"/>
    </xf>
    <xf numFmtId="0" fontId="9" fillId="0" borderId="0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0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165" fontId="5" fillId="0" borderId="21" xfId="1" applyNumberFormat="1" applyFont="1" applyBorder="1" applyAlignment="1"/>
    <xf numFmtId="165" fontId="5" fillId="0" borderId="39" xfId="1" applyNumberFormat="1" applyFont="1" applyBorder="1"/>
    <xf numFmtId="2" fontId="5" fillId="0" borderId="39" xfId="0" applyNumberFormat="1" applyFont="1" applyBorder="1" applyAlignment="1">
      <alignment horizontal="center"/>
    </xf>
    <xf numFmtId="165" fontId="5" fillId="0" borderId="21" xfId="1" applyNumberFormat="1" applyFont="1" applyBorder="1"/>
    <xf numFmtId="165" fontId="5" fillId="0" borderId="40" xfId="1" applyNumberFormat="1" applyFont="1" applyBorder="1"/>
    <xf numFmtId="166" fontId="3" fillId="0" borderId="43" xfId="0" applyNumberFormat="1" applyFont="1" applyBorder="1"/>
    <xf numFmtId="165" fontId="8" fillId="0" borderId="0" xfId="1" applyNumberFormat="1" applyFont="1"/>
    <xf numFmtId="165" fontId="8" fillId="0" borderId="0" xfId="0" applyNumberFormat="1" applyFont="1"/>
    <xf numFmtId="0" fontId="9" fillId="0" borderId="0" xfId="0" applyFont="1"/>
    <xf numFmtId="0" fontId="2" fillId="0" borderId="0" xfId="0" applyFont="1" applyFill="1" applyBorder="1"/>
    <xf numFmtId="0" fontId="9" fillId="0" borderId="0" xfId="0" applyFont="1" applyFill="1" applyBorder="1"/>
    <xf numFmtId="0" fontId="29" fillId="0" borderId="0" xfId="0" applyFont="1" applyBorder="1"/>
    <xf numFmtId="165" fontId="2" fillId="0" borderId="0" xfId="1" applyNumberFormat="1" applyFont="1" applyFill="1" applyBorder="1"/>
    <xf numFmtId="165" fontId="2" fillId="0" borderId="0" xfId="0" applyNumberFormat="1" applyFont="1" applyFill="1" applyBorder="1"/>
    <xf numFmtId="0" fontId="30" fillId="0" borderId="0" xfId="0" applyFont="1"/>
    <xf numFmtId="0" fontId="29" fillId="0" borderId="0" xfId="0" applyFont="1"/>
    <xf numFmtId="0" fontId="2" fillId="0" borderId="0" xfId="0" applyFont="1" applyFill="1"/>
    <xf numFmtId="0" fontId="6" fillId="0" borderId="0" xfId="0" applyFont="1" applyFill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167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23" xfId="1" applyNumberFormat="1" applyFont="1" applyBorder="1"/>
    <xf numFmtId="166" fontId="11" fillId="0" borderId="38" xfId="0" applyNumberFormat="1" applyFont="1" applyBorder="1" applyAlignment="1">
      <alignment horizontal="right"/>
    </xf>
    <xf numFmtId="166" fontId="11" fillId="0" borderId="37" xfId="0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center"/>
    </xf>
    <xf numFmtId="166" fontId="11" fillId="0" borderId="11" xfId="0" applyNumberFormat="1" applyFont="1" applyBorder="1" applyAlignment="1">
      <alignment horizontal="right"/>
    </xf>
    <xf numFmtId="166" fontId="11" fillId="0" borderId="10" xfId="0" applyNumberFormat="1" applyFont="1" applyBorder="1" applyAlignment="1">
      <alignment horizontal="right"/>
    </xf>
    <xf numFmtId="166" fontId="5" fillId="0" borderId="18" xfId="0" applyNumberFormat="1" applyFont="1" applyBorder="1"/>
    <xf numFmtId="166" fontId="5" fillId="0" borderId="22" xfId="0" applyNumberFormat="1" applyFont="1" applyBorder="1"/>
    <xf numFmtId="166" fontId="5" fillId="0" borderId="44" xfId="0" applyNumberFormat="1" applyFont="1" applyBorder="1"/>
    <xf numFmtId="166" fontId="5" fillId="0" borderId="45" xfId="0" applyNumberFormat="1" applyFont="1" applyBorder="1"/>
    <xf numFmtId="166" fontId="5" fillId="0" borderId="42" xfId="0" applyNumberFormat="1" applyFont="1" applyBorder="1"/>
    <xf numFmtId="2" fontId="32" fillId="2" borderId="0" xfId="0" applyNumberFormat="1" applyFont="1" applyFill="1" applyBorder="1"/>
    <xf numFmtId="0" fontId="5" fillId="0" borderId="4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wrapText="1"/>
    </xf>
    <xf numFmtId="0" fontId="5" fillId="0" borderId="20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NumberFormat="1" applyFont="1" applyBorder="1" applyAlignment="1">
      <alignment wrapText="1"/>
    </xf>
    <xf numFmtId="0" fontId="5" fillId="0" borderId="7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0" fontId="5" fillId="0" borderId="16" xfId="0" applyNumberFormat="1" applyFont="1" applyBorder="1" applyAlignment="1">
      <alignment horizontal="center" wrapText="1"/>
    </xf>
    <xf numFmtId="0" fontId="3" fillId="0" borderId="30" xfId="0" applyFont="1" applyBorder="1" applyAlignment="1">
      <alignment wrapText="1"/>
    </xf>
    <xf numFmtId="0" fontId="3" fillId="0" borderId="2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7" xfId="0" applyNumberFormat="1" applyFont="1" applyBorder="1" applyAlignment="1">
      <alignment vertical="center" wrapText="1"/>
    </xf>
    <xf numFmtId="0" fontId="5" fillId="0" borderId="16" xfId="0" applyNumberFormat="1" applyFont="1" applyBorder="1" applyAlignment="1">
      <alignment vertical="center" wrapText="1"/>
    </xf>
    <xf numFmtId="0" fontId="3" fillId="0" borderId="3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6" fillId="0" borderId="1" xfId="0" applyNumberFormat="1" applyFont="1" applyBorder="1" applyAlignment="1">
      <alignment horizontal="center" wrapText="1"/>
    </xf>
    <xf numFmtId="0" fontId="6" fillId="0" borderId="7" xfId="0" applyNumberFormat="1" applyFont="1" applyBorder="1" applyAlignment="1">
      <alignment horizontal="center" wrapText="1"/>
    </xf>
    <xf numFmtId="0" fontId="6" fillId="0" borderId="1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7;&#1057;/&#1069;&#1082;&#1086;&#1085;&#1086;&#1084;&#1080;&#1089;&#1090;-%20&#1054;&#1083;&#1100;&#1075;&#1072;%20&#1055;&#1077;&#1090;&#1088;&#1086;&#1074;&#1085;&#1072;/&#1054;&#1090;&#1095;&#1077;&#1090;&#1099;/&#1043;&#1086;&#1076;%20&#1086;&#1090;&#1095;&#1077;&#1090;&#1099;%20&#1057;&#1043;%202011/&#1043;&#1086;&#1076;%20&#1086;&#1090;&#1095;&#1077;&#1090;%20%20&#1057;&#1043;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май11-дек11"/>
      <sheetName val="СВ май-апр кратк"/>
      <sheetName val="апр.2011"/>
      <sheetName val="1 кв 2011"/>
      <sheetName val="СВ2010"/>
      <sheetName val="нормы РТР"/>
      <sheetName val="отч ГУ ИС 3"/>
      <sheetName val="отч ГУ ИС 2"/>
      <sheetName val="отчет ф ГУИС"/>
      <sheetName val="Отчет ф ДЖХК май11-дек11"/>
      <sheetName val="Год отч 2011"/>
      <sheetName val="Сод. -свод"/>
      <sheetName val="Сод. май-дек 2010"/>
      <sheetName val="Сод. янв-март 2011"/>
      <sheetName val="Сод. апр 2011"/>
      <sheetName val="Сод май-дек2011"/>
      <sheetName val="Реестр мат-в"/>
      <sheetName val="ТБО КГМ"/>
      <sheetName val="Отоп10-11"/>
      <sheetName val="Лист1"/>
      <sheetName val="Лист2"/>
      <sheetName val="корр распред оп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P11">
            <v>3184478.9326666668</v>
          </cell>
        </row>
        <row r="12">
          <cell r="P12">
            <v>954967.30999999994</v>
          </cell>
        </row>
        <row r="13">
          <cell r="P13">
            <v>508160.0134</v>
          </cell>
        </row>
        <row r="14">
          <cell r="P14">
            <v>352000.00300000003</v>
          </cell>
        </row>
        <row r="15">
          <cell r="P15">
            <v>1505091.44</v>
          </cell>
        </row>
        <row r="16">
          <cell r="P16">
            <v>710554.26</v>
          </cell>
        </row>
        <row r="17">
          <cell r="P17">
            <v>1999999.6800000002</v>
          </cell>
        </row>
        <row r="18">
          <cell r="P18">
            <v>1200000</v>
          </cell>
        </row>
        <row r="19">
          <cell r="P19">
            <v>213243.12</v>
          </cell>
        </row>
        <row r="20">
          <cell r="P20">
            <v>1452045.99</v>
          </cell>
        </row>
        <row r="22">
          <cell r="P22">
            <v>7185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92"/>
  <sheetViews>
    <sheetView tabSelected="1" view="pageBreakPreview" topLeftCell="A67" zoomScale="60" zoomScaleNormal="70" workbookViewId="0">
      <selection activeCell="C82" sqref="C82"/>
    </sheetView>
  </sheetViews>
  <sheetFormatPr defaultColWidth="9.140625" defaultRowHeight="16.5" customHeight="1" x14ac:dyDescent="0.2"/>
  <cols>
    <col min="1" max="1" width="10.5703125" style="1" customWidth="1"/>
    <col min="2" max="2" width="6.5703125" style="2" customWidth="1"/>
    <col min="3" max="3" width="48.140625" style="2" customWidth="1"/>
    <col min="4" max="4" width="18.42578125" style="2" customWidth="1"/>
    <col min="5" max="5" width="20.28515625" style="2" customWidth="1"/>
    <col min="6" max="6" width="17" style="2" customWidth="1"/>
    <col min="7" max="7" width="20" style="2" customWidth="1"/>
    <col min="8" max="8" width="18.140625" style="2" customWidth="1"/>
    <col min="9" max="9" width="20.42578125" style="2" customWidth="1"/>
    <col min="10" max="10" width="17.85546875" style="2" customWidth="1"/>
    <col min="11" max="11" width="14.7109375" style="2" customWidth="1"/>
    <col min="12" max="12" width="17" style="2" customWidth="1"/>
    <col min="13" max="13" width="39.42578125" style="3" customWidth="1"/>
    <col min="14" max="14" width="15" style="2" customWidth="1"/>
    <col min="15" max="15" width="14.7109375" style="2" customWidth="1"/>
    <col min="16" max="16" width="16.85546875" style="2" customWidth="1"/>
    <col min="17" max="16384" width="9.140625" style="2"/>
  </cols>
  <sheetData>
    <row r="1" spans="1:17" ht="16.5" customHeight="1" x14ac:dyDescent="0.2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7" ht="26.25" customHeight="1" x14ac:dyDescent="0.2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</row>
    <row r="3" spans="1:17" ht="28.5" customHeight="1" x14ac:dyDescent="0.25">
      <c r="A3" s="290" t="s">
        <v>1</v>
      </c>
      <c r="B3" s="290"/>
      <c r="C3" s="290"/>
      <c r="D3" s="290"/>
      <c r="E3" s="290"/>
      <c r="F3" s="290"/>
      <c r="G3" s="290"/>
      <c r="H3" s="290"/>
      <c r="K3" s="4"/>
      <c r="L3" s="4"/>
    </row>
    <row r="4" spans="1:17" ht="15.75" x14ac:dyDescent="0.25">
      <c r="A4" s="291" t="s">
        <v>2</v>
      </c>
      <c r="B4" s="291"/>
      <c r="C4" s="291"/>
      <c r="D4" s="291"/>
      <c r="E4" s="291"/>
      <c r="F4" s="291"/>
      <c r="G4" s="291"/>
      <c r="H4" s="291"/>
      <c r="K4" s="4"/>
      <c r="L4" s="4"/>
    </row>
    <row r="5" spans="1:17" ht="24.75" customHeight="1" x14ac:dyDescent="0.25">
      <c r="A5" s="212" t="s">
        <v>108</v>
      </c>
      <c r="B5" s="5"/>
      <c r="C5" s="5"/>
      <c r="D5" s="5"/>
      <c r="F5" s="5"/>
      <c r="G5" s="5"/>
      <c r="H5" s="5"/>
      <c r="K5" s="4"/>
      <c r="L5" s="4"/>
    </row>
    <row r="6" spans="1:17" ht="30" customHeight="1" x14ac:dyDescent="0.25">
      <c r="A6" s="3" t="s">
        <v>3</v>
      </c>
      <c r="B6" s="6"/>
      <c r="C6" s="6"/>
      <c r="D6" s="7">
        <v>62882</v>
      </c>
      <c r="E6" s="5"/>
      <c r="F6" s="5"/>
      <c r="G6" s="5"/>
      <c r="H6" s="5"/>
      <c r="I6" s="5"/>
      <c r="J6" s="5"/>
      <c r="L6" s="4"/>
    </row>
    <row r="7" spans="1:17" ht="14.25" customHeight="1" x14ac:dyDescent="0.25">
      <c r="A7" s="3" t="s">
        <v>4</v>
      </c>
      <c r="B7" s="6"/>
      <c r="C7" s="6"/>
      <c r="D7" s="7">
        <v>5952</v>
      </c>
      <c r="E7" s="8" t="s">
        <v>107</v>
      </c>
      <c r="F7" s="5"/>
      <c r="G7" s="5"/>
      <c r="H7" s="5"/>
      <c r="I7" s="5"/>
      <c r="J7" s="5"/>
      <c r="L7" s="9"/>
    </row>
    <row r="8" spans="1:17" ht="15.75" customHeight="1" x14ac:dyDescent="0.25">
      <c r="A8" s="3" t="s">
        <v>5</v>
      </c>
      <c r="B8" s="3"/>
      <c r="C8" s="6"/>
      <c r="D8" s="79">
        <f>SUM(D6:D7)</f>
        <v>68834</v>
      </c>
      <c r="G8" s="10"/>
      <c r="H8" s="5"/>
      <c r="I8" s="5"/>
      <c r="J8" s="5"/>
      <c r="L8" s="11"/>
      <c r="N8" s="196"/>
    </row>
    <row r="9" spans="1:17" ht="14.25" customHeight="1" x14ac:dyDescent="0.25">
      <c r="A9" s="12"/>
      <c r="B9" s="12" t="s">
        <v>6</v>
      </c>
      <c r="C9" s="13"/>
      <c r="D9" s="14"/>
      <c r="G9" s="10"/>
      <c r="H9" s="5"/>
      <c r="I9" s="5"/>
      <c r="J9" s="5"/>
      <c r="L9" s="11"/>
      <c r="N9" s="197"/>
    </row>
    <row r="10" spans="1:17" ht="39" customHeight="1" x14ac:dyDescent="0.25">
      <c r="A10" s="292" t="s">
        <v>7</v>
      </c>
      <c r="B10" s="292"/>
      <c r="C10" s="292"/>
      <c r="D10" s="292"/>
      <c r="E10" s="292"/>
      <c r="F10" s="292"/>
      <c r="G10" s="292"/>
      <c r="H10" s="292"/>
      <c r="K10" s="15"/>
      <c r="L10" s="293"/>
      <c r="M10" s="293"/>
      <c r="N10" s="197"/>
    </row>
    <row r="11" spans="1:17" ht="21.75" customHeight="1" thickBot="1" x14ac:dyDescent="0.25">
      <c r="A11" s="16"/>
      <c r="B11" s="17"/>
      <c r="C11" s="18"/>
      <c r="D11" s="17"/>
      <c r="E11" s="17"/>
      <c r="F11" s="17"/>
      <c r="G11" s="17"/>
      <c r="H11" s="19"/>
    </row>
    <row r="12" spans="1:17" ht="62.25" customHeight="1" x14ac:dyDescent="0.25">
      <c r="A12" s="294" t="s">
        <v>8</v>
      </c>
      <c r="B12" s="243" t="s">
        <v>9</v>
      </c>
      <c r="C12" s="297"/>
      <c r="D12" s="302" t="s">
        <v>10</v>
      </c>
      <c r="E12" s="302" t="s">
        <v>11</v>
      </c>
      <c r="F12" s="280" t="s">
        <v>12</v>
      </c>
      <c r="G12" s="278" t="s">
        <v>13</v>
      </c>
      <c r="H12" s="279"/>
      <c r="I12" s="280" t="s">
        <v>14</v>
      </c>
      <c r="J12" s="283" t="s">
        <v>15</v>
      </c>
      <c r="K12" s="278"/>
      <c r="L12" s="279"/>
      <c r="M12" s="20" t="s">
        <v>16</v>
      </c>
      <c r="N12" s="198"/>
      <c r="O12" s="198"/>
      <c r="P12" s="198"/>
      <c r="Q12" s="165"/>
    </row>
    <row r="13" spans="1:17" ht="60.75" customHeight="1" x14ac:dyDescent="0.2">
      <c r="A13" s="295"/>
      <c r="B13" s="298"/>
      <c r="C13" s="299"/>
      <c r="D13" s="303" t="s">
        <v>17</v>
      </c>
      <c r="E13" s="303"/>
      <c r="F13" s="304"/>
      <c r="G13" s="21" t="s">
        <v>18</v>
      </c>
      <c r="H13" s="22" t="s">
        <v>19</v>
      </c>
      <c r="I13" s="281"/>
      <c r="J13" s="23" t="s">
        <v>104</v>
      </c>
      <c r="K13" s="24" t="s">
        <v>105</v>
      </c>
      <c r="L13" s="25" t="s">
        <v>103</v>
      </c>
      <c r="M13" s="26"/>
      <c r="N13" s="199"/>
      <c r="O13" s="199"/>
      <c r="P13" s="200"/>
      <c r="Q13" s="201"/>
    </row>
    <row r="14" spans="1:17" ht="20.25" customHeight="1" thickBot="1" x14ac:dyDescent="0.3">
      <c r="A14" s="296"/>
      <c r="B14" s="300"/>
      <c r="C14" s="301"/>
      <c r="D14" s="27"/>
      <c r="E14" s="28"/>
      <c r="F14" s="29"/>
      <c r="G14" s="30"/>
      <c r="H14" s="31"/>
      <c r="I14" s="282"/>
      <c r="J14" s="28"/>
      <c r="K14" s="32"/>
      <c r="L14" s="33"/>
      <c r="M14" s="34"/>
      <c r="N14" s="199"/>
      <c r="O14" s="199"/>
      <c r="P14" s="200"/>
      <c r="Q14" s="201"/>
    </row>
    <row r="15" spans="1:17" ht="15.75" thickBot="1" x14ac:dyDescent="0.25">
      <c r="A15" s="35">
        <v>1</v>
      </c>
      <c r="B15" s="284">
        <f>A15+1</f>
        <v>2</v>
      </c>
      <c r="C15" s="285"/>
      <c r="D15" s="36">
        <f>B15+1</f>
        <v>3</v>
      </c>
      <c r="E15" s="36">
        <f>D15+1</f>
        <v>4</v>
      </c>
      <c r="F15" s="36">
        <f t="shared" ref="F15:M15" si="0">E15+1</f>
        <v>5</v>
      </c>
      <c r="G15" s="36">
        <f t="shared" si="0"/>
        <v>6</v>
      </c>
      <c r="H15" s="36">
        <f t="shared" si="0"/>
        <v>7</v>
      </c>
      <c r="I15" s="36">
        <f t="shared" si="0"/>
        <v>8</v>
      </c>
      <c r="J15" s="36">
        <f t="shared" si="0"/>
        <v>9</v>
      </c>
      <c r="K15" s="36">
        <f t="shared" si="0"/>
        <v>10</v>
      </c>
      <c r="L15" s="36">
        <f t="shared" si="0"/>
        <v>11</v>
      </c>
      <c r="M15" s="37">
        <f t="shared" si="0"/>
        <v>12</v>
      </c>
      <c r="N15" s="199"/>
      <c r="O15" s="199"/>
      <c r="P15" s="200"/>
      <c r="Q15" s="201"/>
    </row>
    <row r="16" spans="1:17" ht="18" customHeight="1" x14ac:dyDescent="0.2">
      <c r="A16" s="38"/>
      <c r="B16" s="39"/>
      <c r="C16" s="39"/>
      <c r="D16" s="40"/>
      <c r="F16" s="29"/>
      <c r="G16" s="41"/>
      <c r="H16" s="42"/>
      <c r="I16" s="43"/>
      <c r="J16" s="44"/>
      <c r="K16" s="41"/>
      <c r="L16" s="45"/>
      <c r="M16" s="286" t="s">
        <v>22</v>
      </c>
      <c r="N16" s="199"/>
      <c r="O16" s="199"/>
      <c r="P16" s="199"/>
      <c r="Q16" s="198"/>
    </row>
    <row r="17" spans="1:17" ht="42.75" customHeight="1" x14ac:dyDescent="0.25">
      <c r="A17" s="46"/>
      <c r="B17" s="287" t="s">
        <v>23</v>
      </c>
      <c r="C17" s="288"/>
      <c r="D17" s="47">
        <f>D18*D8*8</f>
        <v>12621402.24</v>
      </c>
      <c r="E17" s="48">
        <f>SUM(E20,E25,E26,E35,E36,E37,E38,E39,E40,E41,E45)</f>
        <v>12621402.24</v>
      </c>
      <c r="F17" s="49">
        <f>E17/D$8/8</f>
        <v>22.92</v>
      </c>
      <c r="G17" s="48">
        <f>9680029.15+1077976</f>
        <v>10758005.15</v>
      </c>
      <c r="H17" s="50">
        <v>0</v>
      </c>
      <c r="I17" s="48">
        <f>2386524.85/12*8+54947</f>
        <v>1645963.5666666667</v>
      </c>
      <c r="J17" s="51">
        <v>-5243500</v>
      </c>
      <c r="K17" s="52">
        <f>G17+H17+I17-E17</f>
        <v>-217433.52333333343</v>
      </c>
      <c r="L17" s="53">
        <f>J17+K17</f>
        <v>-5460933.5233333334</v>
      </c>
      <c r="M17" s="267"/>
      <c r="N17" s="202"/>
      <c r="O17" s="199"/>
      <c r="P17" s="199"/>
      <c r="Q17" s="198"/>
    </row>
    <row r="18" spans="1:17" ht="21.75" customHeight="1" x14ac:dyDescent="0.25">
      <c r="A18" s="46"/>
      <c r="B18" s="54"/>
      <c r="C18" s="54" t="s">
        <v>24</v>
      </c>
      <c r="D18" s="55">
        <v>22.92</v>
      </c>
      <c r="E18" s="228">
        <f>E17/8/(D8)</f>
        <v>22.92</v>
      </c>
      <c r="F18" s="57"/>
      <c r="G18" s="56"/>
      <c r="H18" s="58"/>
      <c r="I18" s="59"/>
      <c r="J18" s="60"/>
      <c r="K18" s="54"/>
      <c r="L18" s="61"/>
      <c r="M18" s="267"/>
      <c r="N18" s="202"/>
      <c r="O18" s="199"/>
      <c r="P18" s="199"/>
      <c r="Q18" s="198"/>
    </row>
    <row r="19" spans="1:17" ht="31.5" customHeight="1" x14ac:dyDescent="0.2">
      <c r="A19" s="62"/>
      <c r="B19" s="63"/>
      <c r="C19" s="63"/>
      <c r="D19" s="64"/>
      <c r="E19" s="65"/>
      <c r="F19" s="66"/>
      <c r="G19" s="65"/>
      <c r="H19" s="67"/>
      <c r="I19" s="68"/>
      <c r="J19" s="69"/>
      <c r="K19" s="65"/>
      <c r="L19" s="70"/>
      <c r="M19" s="268"/>
      <c r="N19" s="199"/>
      <c r="O19" s="199"/>
      <c r="P19" s="199"/>
      <c r="Q19" s="198"/>
    </row>
    <row r="20" spans="1:17" ht="20.25" customHeight="1" x14ac:dyDescent="0.55000000000000004">
      <c r="A20" s="71">
        <v>1</v>
      </c>
      <c r="B20" s="3" t="s">
        <v>25</v>
      </c>
      <c r="C20" s="3"/>
      <c r="D20" s="72"/>
      <c r="E20" s="73">
        <f>'[1]Сод май-дек2011'!P12</f>
        <v>954967.30999999994</v>
      </c>
      <c r="F20" s="74">
        <f>E20/D$8/8</f>
        <v>1.7341853408199435</v>
      </c>
      <c r="G20" s="73"/>
      <c r="H20" s="75"/>
      <c r="I20" s="76"/>
      <c r="J20" s="77"/>
      <c r="K20" s="73"/>
      <c r="L20" s="78"/>
      <c r="M20" s="266" t="s">
        <v>26</v>
      </c>
      <c r="N20" s="199"/>
      <c r="O20" s="199"/>
      <c r="P20" s="199"/>
      <c r="Q20" s="198"/>
    </row>
    <row r="21" spans="1:17" ht="15.75" x14ac:dyDescent="0.25">
      <c r="A21" s="71"/>
      <c r="B21" s="3"/>
      <c r="C21" s="3" t="s">
        <v>27</v>
      </c>
      <c r="D21" s="72"/>
      <c r="E21" s="79">
        <f>11700*4*8+14000*2*8</f>
        <v>598400</v>
      </c>
      <c r="F21" s="80"/>
      <c r="G21" s="81"/>
      <c r="H21" s="82"/>
      <c r="I21" s="76"/>
      <c r="J21" s="77"/>
      <c r="K21" s="81"/>
      <c r="L21" s="78"/>
      <c r="M21" s="267"/>
      <c r="N21" s="199"/>
      <c r="O21" s="199"/>
      <c r="P21" s="199"/>
      <c r="Q21" s="198"/>
    </row>
    <row r="22" spans="1:17" ht="15.75" x14ac:dyDescent="0.25">
      <c r="A22" s="71"/>
      <c r="B22" s="3"/>
      <c r="C22" s="3" t="s">
        <v>28</v>
      </c>
      <c r="D22" s="72"/>
      <c r="E22" s="79">
        <f>E21*0.342</f>
        <v>204652.80000000002</v>
      </c>
      <c r="F22" s="80"/>
      <c r="G22" s="81"/>
      <c r="H22" s="82"/>
      <c r="I22" s="76"/>
      <c r="J22" s="77"/>
      <c r="K22" s="81"/>
      <c r="L22" s="78"/>
      <c r="M22" s="267"/>
      <c r="N22" s="199"/>
      <c r="O22" s="199"/>
      <c r="P22" s="199"/>
      <c r="Q22" s="198"/>
    </row>
    <row r="23" spans="1:17" ht="15.75" x14ac:dyDescent="0.25">
      <c r="A23" s="71"/>
      <c r="B23" s="3"/>
      <c r="C23" s="83" t="s">
        <v>29</v>
      </c>
      <c r="D23" s="72"/>
      <c r="E23" s="79">
        <v>7825</v>
      </c>
      <c r="F23" s="80"/>
      <c r="G23" s="81"/>
      <c r="H23" s="82"/>
      <c r="I23" s="76"/>
      <c r="J23" s="77"/>
      <c r="K23" s="81"/>
      <c r="L23" s="78"/>
      <c r="M23" s="267"/>
      <c r="N23" s="199"/>
      <c r="O23" s="199"/>
      <c r="P23" s="199"/>
      <c r="Q23" s="198"/>
    </row>
    <row r="24" spans="1:17" ht="15.75" x14ac:dyDescent="0.25">
      <c r="A24" s="84"/>
      <c r="B24" s="85"/>
      <c r="C24" s="85" t="s">
        <v>30</v>
      </c>
      <c r="D24" s="86"/>
      <c r="E24" s="87">
        <f>E20-E21-E22-E23</f>
        <v>144089.50999999992</v>
      </c>
      <c r="F24" s="88"/>
      <c r="G24" s="65"/>
      <c r="H24" s="89"/>
      <c r="I24" s="68"/>
      <c r="J24" s="69"/>
      <c r="K24" s="65"/>
      <c r="L24" s="70"/>
      <c r="M24" s="90"/>
      <c r="N24" s="199"/>
      <c r="O24" s="199"/>
      <c r="P24" s="199"/>
      <c r="Q24" s="198"/>
    </row>
    <row r="25" spans="1:17" ht="90" customHeight="1" x14ac:dyDescent="0.55000000000000004">
      <c r="A25" s="91">
        <f>A20+1</f>
        <v>2</v>
      </c>
      <c r="B25" s="92" t="s">
        <v>31</v>
      </c>
      <c r="C25" s="92"/>
      <c r="D25" s="93"/>
      <c r="E25" s="94">
        <f>'[1]Сод май-дек2011'!P13+'[1]Сод май-дек2011'!P14</f>
        <v>860160.01640000008</v>
      </c>
      <c r="F25" s="95">
        <f>E25/D$8/8</f>
        <v>1.5620187995757913</v>
      </c>
      <c r="G25" s="94"/>
      <c r="H25" s="96">
        <f>G25/D$8/12</f>
        <v>0</v>
      </c>
      <c r="I25" s="97"/>
      <c r="J25" s="98"/>
      <c r="K25" s="94"/>
      <c r="L25" s="99"/>
      <c r="M25" s="100" t="s">
        <v>32</v>
      </c>
      <c r="N25" s="203"/>
      <c r="O25" s="199"/>
      <c r="P25" s="199"/>
      <c r="Q25" s="198"/>
    </row>
    <row r="26" spans="1:17" ht="42.75" customHeight="1" x14ac:dyDescent="0.55000000000000004">
      <c r="A26" s="101">
        <f t="shared" ref="A26:A39" si="1">A25+1</f>
        <v>3</v>
      </c>
      <c r="B26" s="277" t="s">
        <v>33</v>
      </c>
      <c r="C26" s="277"/>
      <c r="D26" s="102"/>
      <c r="E26" s="103">
        <f>'[1]Сод май-дек2011'!P15+'[1]Сод май-дек2011'!P16</f>
        <v>2215645.7000000002</v>
      </c>
      <c r="F26" s="74">
        <f>E26/D$8/8</f>
        <v>4.0235307043031066</v>
      </c>
      <c r="G26" s="103"/>
      <c r="H26" s="75">
        <f>G26/D$8/12</f>
        <v>0</v>
      </c>
      <c r="I26" s="104"/>
      <c r="J26" s="77"/>
      <c r="K26" s="73"/>
      <c r="L26" s="78"/>
      <c r="M26" s="266" t="s">
        <v>34</v>
      </c>
      <c r="Q26" s="198"/>
    </row>
    <row r="27" spans="1:17" ht="24.75" customHeight="1" x14ac:dyDescent="0.25">
      <c r="A27" s="71"/>
      <c r="B27" s="105"/>
      <c r="C27" s="105" t="s">
        <v>35</v>
      </c>
      <c r="D27" s="72"/>
      <c r="E27" s="79">
        <v>968000</v>
      </c>
      <c r="F27" s="26"/>
      <c r="G27" s="81"/>
      <c r="H27" s="82"/>
      <c r="I27" s="76"/>
      <c r="J27" s="77"/>
      <c r="K27" s="81"/>
      <c r="L27" s="78"/>
      <c r="M27" s="267"/>
      <c r="Q27" s="198"/>
    </row>
    <row r="28" spans="1:17" ht="19.5" customHeight="1" x14ac:dyDescent="0.25">
      <c r="A28" s="71"/>
      <c r="B28" s="105"/>
      <c r="C28" s="83" t="s">
        <v>28</v>
      </c>
      <c r="D28" s="72"/>
      <c r="E28" s="79">
        <f>E27*0.342</f>
        <v>331056</v>
      </c>
      <c r="F28" s="26"/>
      <c r="G28" s="81"/>
      <c r="H28" s="82"/>
      <c r="I28" s="76"/>
      <c r="J28" s="77"/>
      <c r="K28" s="81"/>
      <c r="L28" s="78"/>
      <c r="M28" s="267"/>
      <c r="Q28" s="198"/>
    </row>
    <row r="29" spans="1:17" ht="23.25" customHeight="1" x14ac:dyDescent="0.25">
      <c r="A29" s="71"/>
      <c r="B29" s="105"/>
      <c r="C29" s="83" t="s">
        <v>29</v>
      </c>
      <c r="D29" s="72"/>
      <c r="E29" s="79">
        <v>41424</v>
      </c>
      <c r="F29" s="26"/>
      <c r="G29" s="81"/>
      <c r="H29" s="82"/>
      <c r="I29" s="76"/>
      <c r="J29" s="77"/>
      <c r="K29" s="81"/>
      <c r="L29" s="78"/>
      <c r="M29" s="267"/>
      <c r="Q29" s="198"/>
    </row>
    <row r="30" spans="1:17" ht="34.5" customHeight="1" x14ac:dyDescent="0.25">
      <c r="A30" s="71"/>
      <c r="B30" s="105"/>
      <c r="C30" s="105" t="s">
        <v>102</v>
      </c>
      <c r="D30" s="72"/>
      <c r="E30" s="79">
        <v>22972</v>
      </c>
      <c r="F30" s="26"/>
      <c r="G30" s="81"/>
      <c r="H30" s="82"/>
      <c r="I30" s="76"/>
      <c r="J30" s="77"/>
      <c r="K30" s="81"/>
      <c r="L30" s="78"/>
      <c r="M30" s="106"/>
      <c r="Q30" s="198"/>
    </row>
    <row r="31" spans="1:17" ht="21.75" customHeight="1" x14ac:dyDescent="0.25">
      <c r="A31" s="71"/>
      <c r="B31" s="105"/>
      <c r="C31" s="83" t="s">
        <v>36</v>
      </c>
      <c r="D31" s="72"/>
      <c r="E31" s="79">
        <v>315867.84000000003</v>
      </c>
      <c r="F31" s="26"/>
      <c r="G31" s="81"/>
      <c r="H31" s="82"/>
      <c r="I31" s="76"/>
      <c r="J31" s="77"/>
      <c r="K31" s="81"/>
      <c r="L31" s="78"/>
      <c r="M31" s="106"/>
      <c r="N31" s="165"/>
      <c r="O31" s="165"/>
      <c r="Q31" s="198"/>
    </row>
    <row r="32" spans="1:17" ht="49.5" customHeight="1" x14ac:dyDescent="0.25">
      <c r="A32" s="71"/>
      <c r="B32" s="105"/>
      <c r="C32" s="107" t="s">
        <v>37</v>
      </c>
      <c r="D32" s="72"/>
      <c r="E32" s="79">
        <f>58951.22</f>
        <v>58951.22</v>
      </c>
      <c r="F32" s="26"/>
      <c r="G32" s="81"/>
      <c r="H32" s="82"/>
      <c r="I32" s="76"/>
      <c r="J32" s="77"/>
      <c r="K32" s="81"/>
      <c r="L32" s="78"/>
      <c r="M32" s="106"/>
      <c r="N32" s="165"/>
      <c r="O32" s="165"/>
      <c r="Q32" s="198"/>
    </row>
    <row r="33" spans="1:17" ht="52.5" customHeight="1" x14ac:dyDescent="0.25">
      <c r="A33" s="71"/>
      <c r="B33" s="105"/>
      <c r="C33" s="83" t="s">
        <v>38</v>
      </c>
      <c r="D33" s="72"/>
      <c r="E33" s="79">
        <f>E26-SUM(E27:E32)</f>
        <v>477374.64000000013</v>
      </c>
      <c r="F33" s="26"/>
      <c r="G33" s="81"/>
      <c r="H33" s="82"/>
      <c r="I33" s="76"/>
      <c r="J33" s="77"/>
      <c r="K33" s="81"/>
      <c r="L33" s="78"/>
      <c r="M33" s="106" t="s">
        <v>39</v>
      </c>
      <c r="N33" s="165"/>
      <c r="O33" s="165"/>
      <c r="Q33" s="198"/>
    </row>
    <row r="34" spans="1:17" ht="18" customHeight="1" x14ac:dyDescent="0.25">
      <c r="A34" s="84"/>
      <c r="B34" s="108"/>
      <c r="C34" s="108"/>
      <c r="D34" s="86"/>
      <c r="E34" s="87"/>
      <c r="F34" s="109"/>
      <c r="G34" s="65"/>
      <c r="H34" s="89"/>
      <c r="I34" s="68"/>
      <c r="J34" s="69"/>
      <c r="K34" s="65"/>
      <c r="L34" s="70"/>
      <c r="M34" s="110"/>
      <c r="N34" s="165"/>
      <c r="O34" s="165"/>
      <c r="Q34" s="198"/>
    </row>
    <row r="35" spans="1:17" ht="58.5" customHeight="1" x14ac:dyDescent="0.55000000000000004">
      <c r="A35" s="91">
        <v>4</v>
      </c>
      <c r="B35" s="92" t="s">
        <v>40</v>
      </c>
      <c r="C35" s="92"/>
      <c r="D35" s="93"/>
      <c r="E35" s="94">
        <f>'[1]Сод май-дек2011'!P17</f>
        <v>1999999.6800000002</v>
      </c>
      <c r="F35" s="95">
        <f>E35/D$8/8</f>
        <v>3.631925501932185</v>
      </c>
      <c r="G35" s="94"/>
      <c r="H35" s="96">
        <f t="shared" ref="H35:H41" si="2">G35/D$8/12</f>
        <v>0</v>
      </c>
      <c r="I35" s="97"/>
      <c r="J35" s="98"/>
      <c r="K35" s="94"/>
      <c r="L35" s="99"/>
      <c r="M35" s="100" t="s">
        <v>41</v>
      </c>
      <c r="N35" s="165"/>
      <c r="O35" s="165"/>
      <c r="Q35" s="198"/>
    </row>
    <row r="36" spans="1:17" ht="73.5" customHeight="1" x14ac:dyDescent="0.55000000000000004">
      <c r="A36" s="91">
        <f t="shared" si="1"/>
        <v>5</v>
      </c>
      <c r="B36" s="265" t="s">
        <v>42</v>
      </c>
      <c r="C36" s="265"/>
      <c r="D36" s="93"/>
      <c r="E36" s="94">
        <f>'[1]Сод май-дек2011'!P18</f>
        <v>1200000</v>
      </c>
      <c r="F36" s="95">
        <f>E36/D$8/8</f>
        <v>2.1791556498242146</v>
      </c>
      <c r="G36" s="94"/>
      <c r="H36" s="96">
        <f t="shared" si="2"/>
        <v>0</v>
      </c>
      <c r="I36" s="97"/>
      <c r="J36" s="98"/>
      <c r="K36" s="94"/>
      <c r="L36" s="99"/>
      <c r="M36" s="100" t="s">
        <v>43</v>
      </c>
      <c r="N36" s="165"/>
      <c r="O36" s="165"/>
      <c r="Q36" s="198"/>
    </row>
    <row r="37" spans="1:17" ht="36.75" customHeight="1" x14ac:dyDescent="0.25">
      <c r="A37" s="91">
        <v>6</v>
      </c>
      <c r="B37" s="92" t="s">
        <v>44</v>
      </c>
      <c r="C37" s="92"/>
      <c r="D37" s="93"/>
      <c r="E37" s="111">
        <f>'[1]Сод май-дек2011'!P19</f>
        <v>213243.12</v>
      </c>
      <c r="F37" s="95">
        <f>E37/D$8/8</f>
        <v>0.38724162477845248</v>
      </c>
      <c r="G37" s="111"/>
      <c r="H37" s="96">
        <f t="shared" si="2"/>
        <v>0</v>
      </c>
      <c r="I37" s="97"/>
      <c r="J37" s="69"/>
      <c r="K37" s="112"/>
      <c r="L37" s="70"/>
      <c r="M37" s="113" t="s">
        <v>45</v>
      </c>
      <c r="N37" s="165"/>
      <c r="O37" s="165"/>
      <c r="Q37" s="198"/>
    </row>
    <row r="38" spans="1:17" ht="42" customHeight="1" x14ac:dyDescent="0.55000000000000004">
      <c r="A38" s="91">
        <f t="shared" si="1"/>
        <v>7</v>
      </c>
      <c r="B38" s="265" t="s">
        <v>46</v>
      </c>
      <c r="C38" s="265"/>
      <c r="D38" s="93"/>
      <c r="E38" s="94">
        <f>'[1]Сод май-дек2011'!P20</f>
        <v>1452045.99</v>
      </c>
      <c r="F38" s="95">
        <f t="shared" ref="F38:F41" si="3">E38/D$8/8</f>
        <v>2.6368618524275793</v>
      </c>
      <c r="G38" s="94"/>
      <c r="H38" s="96">
        <f t="shared" si="2"/>
        <v>0</v>
      </c>
      <c r="I38" s="97"/>
      <c r="J38" s="98"/>
      <c r="K38" s="94"/>
      <c r="L38" s="99"/>
      <c r="M38" s="113"/>
      <c r="N38" s="165"/>
      <c r="O38" s="165"/>
      <c r="Q38" s="198"/>
    </row>
    <row r="39" spans="1:17" ht="39.75" customHeight="1" x14ac:dyDescent="0.55000000000000004">
      <c r="A39" s="91">
        <f t="shared" si="1"/>
        <v>8</v>
      </c>
      <c r="B39" s="265" t="s">
        <v>47</v>
      </c>
      <c r="C39" s="265"/>
      <c r="D39" s="93"/>
      <c r="E39" s="94">
        <v>182058</v>
      </c>
      <c r="F39" s="95">
        <f t="shared" si="3"/>
        <v>0.33061059941308074</v>
      </c>
      <c r="G39" s="94"/>
      <c r="H39" s="96">
        <f t="shared" si="2"/>
        <v>0</v>
      </c>
      <c r="I39" s="97"/>
      <c r="J39" s="98"/>
      <c r="K39" s="94"/>
      <c r="L39" s="99"/>
      <c r="M39" s="113"/>
      <c r="N39" s="165"/>
      <c r="O39" s="165"/>
      <c r="Q39" s="198"/>
    </row>
    <row r="40" spans="1:17" ht="24" customHeight="1" x14ac:dyDescent="0.55000000000000004">
      <c r="A40" s="91">
        <v>9</v>
      </c>
      <c r="B40" s="265" t="s">
        <v>48</v>
      </c>
      <c r="C40" s="265"/>
      <c r="D40" s="102"/>
      <c r="E40" s="103">
        <f>'[1]Сод май-дек2011'!P22</f>
        <v>7185</v>
      </c>
      <c r="F40" s="95">
        <f t="shared" si="3"/>
        <v>1.3047694453322486E-2</v>
      </c>
      <c r="G40" s="103"/>
      <c r="H40" s="96">
        <f t="shared" si="2"/>
        <v>0</v>
      </c>
      <c r="I40" s="104"/>
      <c r="J40" s="69"/>
      <c r="K40" s="94"/>
      <c r="L40" s="70"/>
      <c r="M40" s="114"/>
      <c r="N40" s="165"/>
      <c r="O40" s="165"/>
      <c r="Q40" s="198"/>
    </row>
    <row r="41" spans="1:17" ht="45.75" customHeight="1" x14ac:dyDescent="0.55000000000000004">
      <c r="A41" s="71">
        <v>10</v>
      </c>
      <c r="B41" s="115" t="s">
        <v>49</v>
      </c>
      <c r="C41" s="115"/>
      <c r="D41" s="102"/>
      <c r="E41" s="103">
        <f>'[1]Сод май-дек2011'!P11</f>
        <v>3184478.9326666668</v>
      </c>
      <c r="F41" s="74">
        <f t="shared" si="3"/>
        <v>5.7828960482222938</v>
      </c>
      <c r="G41" s="103"/>
      <c r="H41" s="75">
        <f t="shared" si="2"/>
        <v>0</v>
      </c>
      <c r="I41" s="104"/>
      <c r="J41" s="77"/>
      <c r="K41" s="73"/>
      <c r="L41" s="78"/>
      <c r="M41" s="266" t="s">
        <v>50</v>
      </c>
      <c r="N41" s="165"/>
      <c r="O41" s="165"/>
      <c r="Q41" s="198"/>
    </row>
    <row r="42" spans="1:17" ht="18" customHeight="1" x14ac:dyDescent="0.25">
      <c r="A42" s="71"/>
      <c r="B42" s="83"/>
      <c r="C42" s="83" t="s">
        <v>51</v>
      </c>
      <c r="D42" s="72"/>
      <c r="E42" s="79">
        <v>1660000</v>
      </c>
      <c r="F42" s="26"/>
      <c r="G42" s="81"/>
      <c r="H42" s="82"/>
      <c r="I42" s="76"/>
      <c r="J42" s="77"/>
      <c r="K42" s="81"/>
      <c r="L42" s="78"/>
      <c r="M42" s="267"/>
      <c r="N42" s="165"/>
      <c r="O42" s="165"/>
      <c r="Q42" s="198"/>
    </row>
    <row r="43" spans="1:17" ht="18.75" customHeight="1" x14ac:dyDescent="0.25">
      <c r="A43" s="71"/>
      <c r="B43" s="83"/>
      <c r="C43" s="83" t="s">
        <v>28</v>
      </c>
      <c r="D43" s="72"/>
      <c r="E43" s="79">
        <f>E42*0.342</f>
        <v>567720</v>
      </c>
      <c r="F43" s="26"/>
      <c r="G43" s="81"/>
      <c r="H43" s="82"/>
      <c r="I43" s="76"/>
      <c r="J43" s="77"/>
      <c r="K43" s="81"/>
      <c r="L43" s="78"/>
      <c r="M43" s="267"/>
      <c r="N43" s="165"/>
      <c r="O43" s="165"/>
      <c r="Q43" s="198"/>
    </row>
    <row r="44" spans="1:17" ht="17.25" customHeight="1" x14ac:dyDescent="0.25">
      <c r="A44" s="84"/>
      <c r="B44" s="85"/>
      <c r="C44" s="85" t="s">
        <v>52</v>
      </c>
      <c r="D44" s="86"/>
      <c r="E44" s="87">
        <f>E41-E42-E43</f>
        <v>956758.93266666681</v>
      </c>
      <c r="F44" s="109"/>
      <c r="G44" s="65"/>
      <c r="H44" s="89"/>
      <c r="I44" s="68"/>
      <c r="J44" s="69"/>
      <c r="K44" s="65"/>
      <c r="L44" s="70"/>
      <c r="M44" s="268"/>
      <c r="N44" s="165"/>
      <c r="O44" s="165"/>
      <c r="Q44" s="198"/>
    </row>
    <row r="45" spans="1:17" ht="24.75" customHeight="1" x14ac:dyDescent="0.55000000000000004">
      <c r="A45" s="71">
        <f>A41+1</f>
        <v>11</v>
      </c>
      <c r="B45" s="3" t="s">
        <v>53</v>
      </c>
      <c r="C45" s="3"/>
      <c r="D45" s="72"/>
      <c r="E45" s="73">
        <f>22.92*D8*8-SUM(E20,E25,E26,E35,E36,E37,E38,E39,E40,E41)</f>
        <v>351618.49093333259</v>
      </c>
      <c r="F45" s="74">
        <f t="shared" ref="F45" si="4">E45/D$8/8</f>
        <v>0.63852618425003016</v>
      </c>
      <c r="G45" s="73"/>
      <c r="H45" s="75">
        <f>G45/D$8/12</f>
        <v>0</v>
      </c>
      <c r="I45" s="76"/>
      <c r="J45" s="77"/>
      <c r="K45" s="73"/>
      <c r="L45" s="78"/>
      <c r="M45" s="116"/>
      <c r="N45" s="165"/>
      <c r="O45" s="165"/>
      <c r="P45" s="198"/>
      <c r="Q45" s="198"/>
    </row>
    <row r="46" spans="1:17" ht="14.25" customHeight="1" thickBot="1" x14ac:dyDescent="0.25">
      <c r="A46" s="117"/>
      <c r="B46" s="118"/>
      <c r="C46" s="118"/>
      <c r="D46" s="119"/>
      <c r="E46" s="120">
        <f>E45/E17</f>
        <v>2.7858908562392239E-2</v>
      </c>
      <c r="F46" s="34"/>
      <c r="G46" s="121"/>
      <c r="H46" s="122"/>
      <c r="I46" s="123"/>
      <c r="J46" s="123"/>
      <c r="K46" s="124"/>
      <c r="L46" s="125"/>
      <c r="M46" s="126"/>
      <c r="N46" s="165"/>
      <c r="O46" s="165"/>
      <c r="P46" s="198"/>
      <c r="Q46" s="198"/>
    </row>
    <row r="47" spans="1:17" ht="33" customHeight="1" x14ac:dyDescent="0.2">
      <c r="F47" s="127"/>
      <c r="G47" s="127"/>
      <c r="K47" s="128"/>
    </row>
    <row r="48" spans="1:17" ht="37.5" customHeight="1" x14ac:dyDescent="0.25">
      <c r="A48" s="129" t="s">
        <v>54</v>
      </c>
      <c r="B48" s="130"/>
      <c r="C48" s="131"/>
      <c r="D48" s="132"/>
      <c r="E48" s="133"/>
      <c r="F48" s="134"/>
      <c r="G48" s="134"/>
      <c r="H48" s="135"/>
      <c r="I48" s="136"/>
      <c r="J48" s="137"/>
      <c r="K48" s="137"/>
      <c r="L48" s="138"/>
      <c r="N48" s="204"/>
      <c r="O48" s="204"/>
    </row>
    <row r="49" spans="1:16" ht="51" customHeight="1" thickBot="1" x14ac:dyDescent="0.3">
      <c r="A49" s="139"/>
      <c r="B49" s="269" t="s">
        <v>55</v>
      </c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N49" s="165"/>
      <c r="O49" s="165"/>
      <c r="P49" s="165"/>
    </row>
    <row r="50" spans="1:16" ht="20.25" customHeight="1" x14ac:dyDescent="0.25">
      <c r="A50" s="140" t="s">
        <v>56</v>
      </c>
      <c r="B50" s="141"/>
      <c r="C50" s="271" t="s">
        <v>57</v>
      </c>
      <c r="D50" s="241" t="s">
        <v>58</v>
      </c>
      <c r="E50" s="241" t="s">
        <v>59</v>
      </c>
      <c r="F50" s="241" t="s">
        <v>60</v>
      </c>
      <c r="G50" s="274" t="s">
        <v>61</v>
      </c>
      <c r="H50" s="274" t="s">
        <v>62</v>
      </c>
      <c r="I50" s="274" t="s">
        <v>63</v>
      </c>
      <c r="J50" s="248" t="s">
        <v>64</v>
      </c>
      <c r="K50" s="249"/>
      <c r="L50" s="250"/>
      <c r="N50" s="165"/>
      <c r="O50" s="165"/>
      <c r="P50" s="165"/>
    </row>
    <row r="51" spans="1:16" ht="29.25" customHeight="1" x14ac:dyDescent="0.25">
      <c r="A51" s="142" t="s">
        <v>65</v>
      </c>
      <c r="B51" s="143"/>
      <c r="C51" s="272"/>
      <c r="D51" s="247"/>
      <c r="E51" s="247"/>
      <c r="F51" s="247"/>
      <c r="G51" s="275"/>
      <c r="H51" s="275"/>
      <c r="I51" s="275"/>
      <c r="J51" s="251"/>
      <c r="K51" s="252"/>
      <c r="L51" s="253"/>
      <c r="N51" s="165"/>
      <c r="O51" s="165"/>
      <c r="P51" s="165"/>
    </row>
    <row r="52" spans="1:16" ht="55.5" customHeight="1" thickBot="1" x14ac:dyDescent="0.3">
      <c r="A52" s="144"/>
      <c r="B52" s="145"/>
      <c r="C52" s="273"/>
      <c r="D52" s="242"/>
      <c r="E52" s="242"/>
      <c r="F52" s="242"/>
      <c r="G52" s="276"/>
      <c r="H52" s="276"/>
      <c r="I52" s="276"/>
      <c r="J52" s="23" t="s">
        <v>20</v>
      </c>
      <c r="K52" s="24" t="s">
        <v>84</v>
      </c>
      <c r="L52" s="25" t="s">
        <v>21</v>
      </c>
      <c r="N52" s="165"/>
      <c r="O52" s="165"/>
      <c r="P52" s="165"/>
    </row>
    <row r="53" spans="1:16" ht="18" customHeight="1" thickBot="1" x14ac:dyDescent="0.25">
      <c r="A53" s="146">
        <v>1</v>
      </c>
      <c r="B53" s="256">
        <f>A53+1</f>
        <v>2</v>
      </c>
      <c r="C53" s="257"/>
      <c r="D53" s="147">
        <f>B53+1</f>
        <v>3</v>
      </c>
      <c r="E53" s="147">
        <f>D53+1</f>
        <v>4</v>
      </c>
      <c r="F53" s="147">
        <f>E53+1</f>
        <v>5</v>
      </c>
      <c r="G53" s="147">
        <f t="shared" ref="G53:L53" si="5">F53+1</f>
        <v>6</v>
      </c>
      <c r="H53" s="147">
        <f t="shared" si="5"/>
        <v>7</v>
      </c>
      <c r="I53" s="147">
        <f t="shared" si="5"/>
        <v>8</v>
      </c>
      <c r="J53" s="148">
        <f t="shared" si="5"/>
        <v>9</v>
      </c>
      <c r="K53" s="149">
        <f t="shared" si="5"/>
        <v>10</v>
      </c>
      <c r="L53" s="147">
        <f t="shared" si="5"/>
        <v>11</v>
      </c>
      <c r="N53" s="165"/>
      <c r="O53" s="165"/>
      <c r="P53" s="165"/>
    </row>
    <row r="54" spans="1:16" ht="25.5" customHeight="1" x14ac:dyDescent="0.25">
      <c r="A54" s="146"/>
      <c r="B54" s="150"/>
      <c r="C54" s="151" t="s">
        <v>66</v>
      </c>
      <c r="D54" s="20" t="s">
        <v>67</v>
      </c>
      <c r="E54" s="20">
        <v>989.53</v>
      </c>
      <c r="F54" s="215">
        <v>3173.4</v>
      </c>
      <c r="G54" s="216">
        <v>3302855</v>
      </c>
      <c r="H54" s="216">
        <f>6892393-1847680-914</f>
        <v>5043799</v>
      </c>
      <c r="I54" s="217">
        <v>130204</v>
      </c>
      <c r="J54" s="213">
        <v>0</v>
      </c>
      <c r="K54" s="218">
        <f>H54+I54-G54</f>
        <v>1871148</v>
      </c>
      <c r="L54" s="219">
        <f>J54+K54</f>
        <v>1871148</v>
      </c>
      <c r="N54" s="165"/>
      <c r="O54" s="165"/>
      <c r="P54" s="165"/>
    </row>
    <row r="55" spans="1:16" ht="20.25" customHeight="1" x14ac:dyDescent="0.25">
      <c r="A55" s="152"/>
      <c r="B55" s="23"/>
      <c r="C55" s="153" t="s">
        <v>68</v>
      </c>
      <c r="D55" s="71" t="s">
        <v>69</v>
      </c>
      <c r="E55" s="71" t="s">
        <v>70</v>
      </c>
      <c r="F55" s="71" t="s">
        <v>71</v>
      </c>
      <c r="G55" s="220">
        <v>2122800</v>
      </c>
      <c r="H55" s="220">
        <f>2786074-696000</f>
        <v>2090074</v>
      </c>
      <c r="I55" s="79">
        <v>33640</v>
      </c>
      <c r="J55" s="154">
        <v>0</v>
      </c>
      <c r="K55" s="221">
        <f>H55+I55-G55</f>
        <v>914</v>
      </c>
      <c r="L55" s="222">
        <f>J55+K55</f>
        <v>914</v>
      </c>
      <c r="N55" s="165"/>
      <c r="O55" s="165"/>
      <c r="P55" s="165"/>
    </row>
    <row r="56" spans="1:16" ht="23.25" customHeight="1" thickBot="1" x14ac:dyDescent="0.3">
      <c r="A56" s="155"/>
      <c r="B56" s="156"/>
      <c r="C56" s="214" t="s">
        <v>72</v>
      </c>
      <c r="D56" s="117" t="s">
        <v>67</v>
      </c>
      <c r="E56" s="157">
        <v>989.53</v>
      </c>
      <c r="F56" s="158">
        <f>F54+2145.3</f>
        <v>5318.7000000000007</v>
      </c>
      <c r="G56" s="159">
        <f>SUM(G54:G55)</f>
        <v>5425655</v>
      </c>
      <c r="H56" s="159">
        <f t="shared" ref="H56:L56" si="6">SUM(H54:H55)</f>
        <v>7133873</v>
      </c>
      <c r="I56" s="160">
        <f t="shared" si="6"/>
        <v>163844</v>
      </c>
      <c r="J56" s="160">
        <f t="shared" si="6"/>
        <v>0</v>
      </c>
      <c r="K56" s="161">
        <f t="shared" si="6"/>
        <v>1872062</v>
      </c>
      <c r="L56" s="162">
        <f t="shared" si="6"/>
        <v>1872062</v>
      </c>
      <c r="M56" s="163"/>
      <c r="N56" s="165"/>
      <c r="O56" s="165"/>
      <c r="P56" s="165"/>
    </row>
    <row r="57" spans="1:16" ht="49.5" customHeight="1" x14ac:dyDescent="0.2">
      <c r="G57" s="164"/>
    </row>
    <row r="58" spans="1:16" ht="22.5" customHeight="1" thickBot="1" x14ac:dyDescent="0.3">
      <c r="A58" s="129" t="s">
        <v>73</v>
      </c>
      <c r="B58" s="165"/>
      <c r="C58" s="165"/>
      <c r="D58" s="165"/>
      <c r="E58" s="165"/>
      <c r="F58" s="165"/>
      <c r="G58" s="165"/>
      <c r="H58" s="165"/>
      <c r="I58" s="165"/>
      <c r="J58" s="165"/>
      <c r="N58" s="165"/>
      <c r="O58" s="165"/>
    </row>
    <row r="59" spans="1:16" ht="22.5" customHeight="1" x14ac:dyDescent="0.25">
      <c r="A59" s="140" t="s">
        <v>56</v>
      </c>
      <c r="B59" s="141"/>
      <c r="C59" s="166"/>
      <c r="D59" s="258" t="s">
        <v>58</v>
      </c>
      <c r="E59" s="241" t="s">
        <v>74</v>
      </c>
      <c r="F59" s="260" t="s">
        <v>75</v>
      </c>
      <c r="G59" s="262" t="s">
        <v>76</v>
      </c>
      <c r="H59" s="241" t="s">
        <v>77</v>
      </c>
      <c r="I59" s="241" t="s">
        <v>78</v>
      </c>
      <c r="J59" s="241" t="s">
        <v>79</v>
      </c>
      <c r="K59" s="248" t="s">
        <v>80</v>
      </c>
      <c r="L59" s="249"/>
      <c r="M59" s="250"/>
    </row>
    <row r="60" spans="1:16" ht="25.5" customHeight="1" x14ac:dyDescent="0.25">
      <c r="A60" s="142" t="s">
        <v>65</v>
      </c>
      <c r="B60" s="143"/>
      <c r="C60" s="167" t="s">
        <v>81</v>
      </c>
      <c r="D60" s="259"/>
      <c r="E60" s="247"/>
      <c r="F60" s="261"/>
      <c r="G60" s="263"/>
      <c r="H60" s="247"/>
      <c r="I60" s="247"/>
      <c r="J60" s="247"/>
      <c r="K60" s="251"/>
      <c r="L60" s="252"/>
      <c r="M60" s="253"/>
      <c r="N60" s="205"/>
    </row>
    <row r="61" spans="1:16" ht="76.5" thickBot="1" x14ac:dyDescent="0.3">
      <c r="A61" s="144"/>
      <c r="B61" s="145"/>
      <c r="C61" s="168"/>
      <c r="D61" s="144"/>
      <c r="E61" s="242"/>
      <c r="F61" s="156" t="s">
        <v>82</v>
      </c>
      <c r="G61" s="264"/>
      <c r="H61" s="242"/>
      <c r="I61" s="242"/>
      <c r="J61" s="242"/>
      <c r="K61" s="23" t="s">
        <v>83</v>
      </c>
      <c r="L61" s="24" t="s">
        <v>84</v>
      </c>
      <c r="M61" s="25" t="s">
        <v>85</v>
      </c>
    </row>
    <row r="62" spans="1:16" ht="15.75" thickBot="1" x14ac:dyDescent="0.25">
      <c r="A62" s="169">
        <v>1</v>
      </c>
      <c r="B62" s="254">
        <v>2</v>
      </c>
      <c r="C62" s="255"/>
      <c r="D62" s="20">
        <v>3</v>
      </c>
      <c r="E62" s="170">
        <v>4</v>
      </c>
      <c r="F62" s="171">
        <v>5</v>
      </c>
      <c r="G62" s="37">
        <v>7</v>
      </c>
      <c r="H62" s="170">
        <v>8</v>
      </c>
      <c r="I62" s="170">
        <v>9</v>
      </c>
      <c r="J62" s="172">
        <v>10</v>
      </c>
      <c r="K62" s="148">
        <f t="shared" ref="K62:M62" si="7">J62+1</f>
        <v>11</v>
      </c>
      <c r="L62" s="149">
        <f t="shared" si="7"/>
        <v>12</v>
      </c>
      <c r="M62" s="147">
        <f t="shared" si="7"/>
        <v>13</v>
      </c>
    </row>
    <row r="63" spans="1:16" s="206" customFormat="1" ht="31.5" thickBot="1" x14ac:dyDescent="0.3">
      <c r="A63" s="173">
        <v>1</v>
      </c>
      <c r="B63" s="239" t="s">
        <v>86</v>
      </c>
      <c r="C63" s="240"/>
      <c r="D63" s="174" t="s">
        <v>87</v>
      </c>
      <c r="E63" s="175">
        <v>39.96</v>
      </c>
      <c r="F63" s="176" t="s">
        <v>88</v>
      </c>
      <c r="G63" s="177">
        <v>86558</v>
      </c>
      <c r="H63" s="177">
        <f>G63*39.96</f>
        <v>3458857.68</v>
      </c>
      <c r="I63" s="177">
        <f>2992049+988584+406914</f>
        <v>4387547</v>
      </c>
      <c r="J63" s="177">
        <v>45778</v>
      </c>
      <c r="K63" s="178">
        <v>-988584</v>
      </c>
      <c r="L63" s="178">
        <f>I63+J63-H63</f>
        <v>974467.31999999983</v>
      </c>
      <c r="M63" s="179">
        <f>K63+L63</f>
        <v>-14116.680000000168</v>
      </c>
      <c r="P63" s="207"/>
    </row>
    <row r="64" spans="1:16" ht="39" customHeight="1" x14ac:dyDescent="0.25">
      <c r="A64" s="180"/>
      <c r="B64" s="130"/>
      <c r="C64" s="131"/>
      <c r="D64" s="132"/>
      <c r="E64" s="133"/>
      <c r="F64" s="134"/>
      <c r="G64" s="134"/>
      <c r="H64" s="135"/>
      <c r="I64" s="136"/>
      <c r="J64" s="137"/>
      <c r="K64" s="137"/>
      <c r="L64" s="138"/>
    </row>
    <row r="65" spans="1:15" ht="36" customHeight="1" thickBot="1" x14ac:dyDescent="0.3">
      <c r="A65" s="129" t="s">
        <v>89</v>
      </c>
      <c r="B65" s="165"/>
      <c r="C65" s="165"/>
      <c r="D65" s="165"/>
      <c r="E65" s="165"/>
      <c r="F65" s="165"/>
      <c r="G65" s="165"/>
      <c r="H65" s="165"/>
      <c r="I65" s="165"/>
      <c r="J65" s="165"/>
      <c r="N65" s="165"/>
      <c r="O65" s="165"/>
    </row>
    <row r="66" spans="1:15" ht="61.5" customHeight="1" x14ac:dyDescent="0.2">
      <c r="A66" s="241" t="s">
        <v>90</v>
      </c>
      <c r="B66" s="243" t="s">
        <v>91</v>
      </c>
      <c r="C66" s="244"/>
      <c r="D66" s="243" t="s">
        <v>92</v>
      </c>
      <c r="E66" s="244"/>
      <c r="F66" s="230" t="s">
        <v>93</v>
      </c>
      <c r="G66" s="230" t="s">
        <v>94</v>
      </c>
      <c r="H66" s="230" t="s">
        <v>95</v>
      </c>
      <c r="I66" s="232" t="s">
        <v>64</v>
      </c>
      <c r="J66" s="233"/>
      <c r="K66" s="234"/>
      <c r="N66" s="198"/>
      <c r="O66" s="198"/>
    </row>
    <row r="67" spans="1:15" ht="60.75" thickBot="1" x14ac:dyDescent="0.25">
      <c r="A67" s="242"/>
      <c r="B67" s="245"/>
      <c r="C67" s="246"/>
      <c r="D67" s="245"/>
      <c r="E67" s="246"/>
      <c r="F67" s="231"/>
      <c r="G67" s="231"/>
      <c r="H67" s="231"/>
      <c r="I67" s="23" t="s">
        <v>96</v>
      </c>
      <c r="J67" s="24" t="s">
        <v>84</v>
      </c>
      <c r="K67" s="25" t="s">
        <v>106</v>
      </c>
      <c r="N67" s="198"/>
      <c r="O67" s="198"/>
    </row>
    <row r="68" spans="1:15" thickBot="1" x14ac:dyDescent="0.3">
      <c r="A68" s="181">
        <v>1</v>
      </c>
      <c r="B68" s="235">
        <v>2</v>
      </c>
      <c r="C68" s="236"/>
      <c r="D68" s="235">
        <v>3</v>
      </c>
      <c r="E68" s="237"/>
      <c r="F68" s="182">
        <v>4</v>
      </c>
      <c r="G68" s="183">
        <v>5</v>
      </c>
      <c r="H68" s="184">
        <f>G68+1</f>
        <v>6</v>
      </c>
      <c r="I68" s="184">
        <f>H68+1</f>
        <v>7</v>
      </c>
      <c r="J68" s="185">
        <f t="shared" ref="J68:K68" si="8">I68+1</f>
        <v>8</v>
      </c>
      <c r="K68" s="186">
        <f t="shared" si="8"/>
        <v>9</v>
      </c>
      <c r="N68" s="198"/>
      <c r="O68" s="198"/>
    </row>
    <row r="69" spans="1:15" thickBot="1" x14ac:dyDescent="0.3">
      <c r="A69" s="146">
        <v>1</v>
      </c>
      <c r="B69" s="238" t="s">
        <v>97</v>
      </c>
      <c r="C69" s="238"/>
      <c r="D69" s="187" t="s">
        <v>98</v>
      </c>
      <c r="E69" s="188"/>
      <c r="F69" s="189">
        <v>115</v>
      </c>
      <c r="G69" s="190">
        <v>738719</v>
      </c>
      <c r="H69" s="191">
        <f>712690+79366</f>
        <v>792056</v>
      </c>
      <c r="I69" s="225">
        <v>-231562</v>
      </c>
      <c r="J69" s="226">
        <f>H69-G69</f>
        <v>53337</v>
      </c>
      <c r="K69" s="223">
        <f>I69+J69</f>
        <v>-178225</v>
      </c>
      <c r="N69" s="198"/>
      <c r="O69" s="198"/>
    </row>
    <row r="70" spans="1:15" thickBot="1" x14ac:dyDescent="0.3">
      <c r="A70" s="146">
        <v>2</v>
      </c>
      <c r="B70" s="238" t="s">
        <v>99</v>
      </c>
      <c r="C70" s="238"/>
      <c r="D70" s="187" t="s">
        <v>100</v>
      </c>
      <c r="E70" s="188"/>
      <c r="F70" s="192">
        <v>1.5</v>
      </c>
      <c r="G70" s="190">
        <f>F70*8*D6</f>
        <v>754584</v>
      </c>
      <c r="H70" s="193">
        <f>739020+82298</f>
        <v>821318</v>
      </c>
      <c r="I70" s="225">
        <v>-440317</v>
      </c>
      <c r="J70" s="226">
        <f>H70-G70</f>
        <v>66734</v>
      </c>
      <c r="K70" s="223">
        <f>I70+J70</f>
        <v>-373583</v>
      </c>
      <c r="N70" s="198"/>
      <c r="O70" s="198"/>
    </row>
    <row r="71" spans="1:15" thickBot="1" x14ac:dyDescent="0.3">
      <c r="A71" s="169">
        <v>3</v>
      </c>
      <c r="B71" s="229" t="s">
        <v>109</v>
      </c>
      <c r="C71" s="229"/>
      <c r="D71" s="187" t="s">
        <v>100</v>
      </c>
      <c r="E71" s="188"/>
      <c r="F71" s="192">
        <v>5.5</v>
      </c>
      <c r="G71" s="190">
        <f>F71*8*D6</f>
        <v>2766808</v>
      </c>
      <c r="H71" s="194">
        <f>2670412+297379</f>
        <v>2967791</v>
      </c>
      <c r="I71" s="227">
        <v>-1520183</v>
      </c>
      <c r="J71" s="195">
        <f>H71-G71</f>
        <v>200983</v>
      </c>
      <c r="K71" s="224">
        <f>I71+J71</f>
        <v>-1319200</v>
      </c>
      <c r="N71" s="198"/>
      <c r="O71" s="198"/>
    </row>
    <row r="72" spans="1:15" s="165" customFormat="1" ht="15" x14ac:dyDescent="0.2">
      <c r="A72" s="180"/>
      <c r="B72" s="208"/>
      <c r="C72" s="208"/>
      <c r="D72" s="209"/>
      <c r="E72" s="209"/>
      <c r="F72" s="210"/>
      <c r="G72" s="130"/>
      <c r="I72" s="211"/>
      <c r="J72" s="211"/>
      <c r="K72" s="2"/>
      <c r="L72" s="2"/>
      <c r="M72" s="3"/>
      <c r="N72" s="211"/>
      <c r="O72" s="211"/>
    </row>
    <row r="73" spans="1:15" ht="15" x14ac:dyDescent="0.2">
      <c r="H73" s="10"/>
    </row>
    <row r="75" spans="1:15" ht="15" x14ac:dyDescent="0.2">
      <c r="G75" s="10"/>
      <c r="H75" s="10"/>
      <c r="I75" s="10">
        <f>G75-H75</f>
        <v>0</v>
      </c>
    </row>
    <row r="692" spans="2:2" ht="15" x14ac:dyDescent="0.2">
      <c r="B692" s="2" t="s">
        <v>101</v>
      </c>
    </row>
  </sheetData>
  <mergeCells count="56">
    <mergeCell ref="M16:M19"/>
    <mergeCell ref="B17:C17"/>
    <mergeCell ref="A1:L2"/>
    <mergeCell ref="A3:H3"/>
    <mergeCell ref="A4:H4"/>
    <mergeCell ref="A10:H10"/>
    <mergeCell ref="L10:M10"/>
    <mergeCell ref="A12:A14"/>
    <mergeCell ref="B12:C14"/>
    <mergeCell ref="D12:D13"/>
    <mergeCell ref="E12:E13"/>
    <mergeCell ref="F12:F13"/>
    <mergeCell ref="B39:C39"/>
    <mergeCell ref="G12:H12"/>
    <mergeCell ref="I12:I14"/>
    <mergeCell ref="J12:L12"/>
    <mergeCell ref="B15:C15"/>
    <mergeCell ref="M20:M23"/>
    <mergeCell ref="B26:C26"/>
    <mergeCell ref="M26:M29"/>
    <mergeCell ref="B36:C36"/>
    <mergeCell ref="B38:C38"/>
    <mergeCell ref="B40:C40"/>
    <mergeCell ref="M41:M44"/>
    <mergeCell ref="B49:L49"/>
    <mergeCell ref="C50:C52"/>
    <mergeCell ref="D50:D52"/>
    <mergeCell ref="E50:E52"/>
    <mergeCell ref="F50:F52"/>
    <mergeCell ref="G50:G52"/>
    <mergeCell ref="H50:H52"/>
    <mergeCell ref="I50:I52"/>
    <mergeCell ref="J50:L51"/>
    <mergeCell ref="B53:C53"/>
    <mergeCell ref="D59:D60"/>
    <mergeCell ref="E59:E61"/>
    <mergeCell ref="F59:F60"/>
    <mergeCell ref="G59:G61"/>
    <mergeCell ref="H59:H61"/>
    <mergeCell ref="I59:I61"/>
    <mergeCell ref="J59:J61"/>
    <mergeCell ref="K59:M60"/>
    <mergeCell ref="B62:C62"/>
    <mergeCell ref="B63:C63"/>
    <mergeCell ref="A66:A67"/>
    <mergeCell ref="B66:C67"/>
    <mergeCell ref="D66:E67"/>
    <mergeCell ref="B70:C70"/>
    <mergeCell ref="B71:C71"/>
    <mergeCell ref="G66:G67"/>
    <mergeCell ref="H66:H67"/>
    <mergeCell ref="I66:K66"/>
    <mergeCell ref="B68:C68"/>
    <mergeCell ref="D68:E68"/>
    <mergeCell ref="B69:C69"/>
    <mergeCell ref="F66:F67"/>
  </mergeCells>
  <pageMargins left="0.31496062992125984" right="0.11811023622047245" top="0.35433070866141736" bottom="0.15748031496062992" header="0.31496062992125984" footer="0.31496062992125984"/>
  <pageSetup paperSize="9" scale="48" orientation="landscape" r:id="rId1"/>
  <rowBreaks count="2" manualBreakCount="2">
    <brk id="35" max="16383" man="1"/>
    <brk id="72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2012-10-01T11:23:58Z</cp:lastPrinted>
  <dcterms:created xsi:type="dcterms:W3CDTF">2012-06-06T14:00:07Z</dcterms:created>
  <dcterms:modified xsi:type="dcterms:W3CDTF">2013-07-08T08:05:31Z</dcterms:modified>
</cp:coreProperties>
</file>